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6 год" sheetId="1" r:id="rId1"/>
    <sheet name="2014год" sheetId="2" r:id="rId2"/>
    <sheet name="2018 год " sheetId="3" r:id="rId3"/>
  </sheets>
  <definedNames/>
  <calcPr fullCalcOnLoad="1"/>
</workbook>
</file>

<file path=xl/sharedStrings.xml><?xml version="1.0" encoding="utf-8"?>
<sst xmlns="http://schemas.openxmlformats.org/spreadsheetml/2006/main" count="1545" uniqueCount="642">
  <si>
    <t>Описание работ</t>
  </si>
  <si>
    <t>Обоснование</t>
  </si>
  <si>
    <t>Ед.изм.</t>
  </si>
  <si>
    <t>Разряд работ</t>
  </si>
  <si>
    <t>Трудозатраты, час</t>
  </si>
  <si>
    <t>Стоимомть чел/час, руб</t>
  </si>
  <si>
    <t>Итого ФОТ руб.</t>
  </si>
  <si>
    <t>Цеховые расходы 30%</t>
  </si>
  <si>
    <t>Себестоимость услуги (без НДС) руб.</t>
  </si>
  <si>
    <t>Прейскурант цен                                                                                     на платные услуги, оказываемые населению                                    (без стоимости материалов и транспортных расходов)                               на 2014 год</t>
  </si>
  <si>
    <t>Санитарно-техические работы</t>
  </si>
  <si>
    <t>Смена унитаза со смывным бачком типа "Компакт"</t>
  </si>
  <si>
    <t>ТЕРр65-6-12</t>
  </si>
  <si>
    <t>1 ком-т</t>
  </si>
  <si>
    <t>Ремонт смывного бачка со сменой шарового крана, резиновой груши, поплавка, перелива, седла, коромысла</t>
  </si>
  <si>
    <t>ТЕРр65-6-9</t>
  </si>
  <si>
    <t>Смена бачка к унитазу</t>
  </si>
  <si>
    <t xml:space="preserve">Смена унитаза </t>
  </si>
  <si>
    <t>ТЕРр65-6-14</t>
  </si>
  <si>
    <t>1 шт.</t>
  </si>
  <si>
    <t>Смена умывальника</t>
  </si>
  <si>
    <t>ТЕРр65-6-24</t>
  </si>
  <si>
    <t>1 прибор</t>
  </si>
  <si>
    <t>Смена моек на одо отделение</t>
  </si>
  <si>
    <t>ТЕРр65-6-15</t>
  </si>
  <si>
    <t>Установка мойки (раковины)</t>
  </si>
  <si>
    <t>ТЕРр17-01-005-01</t>
  </si>
  <si>
    <t>Установка умывальника</t>
  </si>
  <si>
    <t>ТЕРр17-01-001-14</t>
  </si>
  <si>
    <t>Замена полотенцесушителя на прибор улучшеной модели</t>
  </si>
  <si>
    <t>ТЕРр65-6-20</t>
  </si>
  <si>
    <t>Замена вынны (чугун)</t>
  </si>
  <si>
    <t>ТЕРр65-6-17</t>
  </si>
  <si>
    <t>Замена вынны (сталь)</t>
  </si>
  <si>
    <t>ТЕРр65-6-18</t>
  </si>
  <si>
    <t>Замена смесителя с душевой сеткой</t>
  </si>
  <si>
    <t>ТЕРр65-5-6</t>
  </si>
  <si>
    <t>Замена смесителя без душевой сеткой</t>
  </si>
  <si>
    <t>ТЕРр65-5-7</t>
  </si>
  <si>
    <t>Смена водозаборного крана при отсутствии отсекающего крана в квартире</t>
  </si>
  <si>
    <t>ТЕРр65-5-5, 16-07-003-01</t>
  </si>
  <si>
    <t>Смена водозаборного крана при наличии отсекающего крана в квартире</t>
  </si>
  <si>
    <t>ТЕРр65-5-5</t>
  </si>
  <si>
    <t>Смена сиденья к унитазу</t>
  </si>
  <si>
    <t>ТЕРр65-4-6</t>
  </si>
  <si>
    <t>Смена радиаторных батарей на новые при отсутствии отсекающего крана в квартире (сброс, воды из системы)</t>
  </si>
  <si>
    <t>ТЕРр65-19-01,65-23-03, ТЕР 18-03-001-01</t>
  </si>
  <si>
    <t>1 батарея</t>
  </si>
  <si>
    <t xml:space="preserve">Смена радиаторных батарей на новые при наличии отсекающего крана в квартире </t>
  </si>
  <si>
    <t>ТЕРр65-19-01,18-03-001-01</t>
  </si>
  <si>
    <t>Перегрупировка старых радиаторов</t>
  </si>
  <si>
    <t>ТЕРр65-20-2</t>
  </si>
  <si>
    <t>шт.</t>
  </si>
  <si>
    <t>Добавление секций радиаторов одной или двух крайних секций</t>
  </si>
  <si>
    <t>ТЕРр65-21-1</t>
  </si>
  <si>
    <t>Добавление секций радиаторов одной или двух средних</t>
  </si>
  <si>
    <t>ТЕРр65-21-2</t>
  </si>
  <si>
    <t>Снятие секций радиаторов одной или двух крайних секций</t>
  </si>
  <si>
    <t>ТЕРр65-21-3</t>
  </si>
  <si>
    <t>Снятие секций радиаторов одной или двух средних</t>
  </si>
  <si>
    <t>ТЕРр65-21-4</t>
  </si>
  <si>
    <t>Смена запорной арматуры БС  10 А (КГЗУ) к смывному бачку d 26-50 мм</t>
  </si>
  <si>
    <t>ТЕРр65-5-3</t>
  </si>
  <si>
    <t>Смена гословки для смесителей холодной и горячей воды</t>
  </si>
  <si>
    <t>ТЕРр65-5-1</t>
  </si>
  <si>
    <t>Смена сифона с заделкой раструба</t>
  </si>
  <si>
    <t>ТЕРр65-6-3</t>
  </si>
  <si>
    <t>Установка водонагревателя (титан)</t>
  </si>
  <si>
    <t>ТЕРр17-01-008-01</t>
  </si>
  <si>
    <t>Снятие водозаборного крана на радиаторном блоке и установка пробки</t>
  </si>
  <si>
    <t>ТЕРр65-25-02</t>
  </si>
  <si>
    <t>Работы по установке посудомоечной машины оплачиваются за фактически отработанное время</t>
  </si>
  <si>
    <t>Работа сантехника</t>
  </si>
  <si>
    <t>Работа электрогазосварщика</t>
  </si>
  <si>
    <t>Работы по установке стиральной  машины оплачиваются за фактически отработанное время</t>
  </si>
  <si>
    <t>Работа электрика</t>
  </si>
  <si>
    <t>Устранение засоров, произошедших по вине проживающих</t>
  </si>
  <si>
    <t>в трубопроводах канализации</t>
  </si>
  <si>
    <t>ТЕРр65-10-1</t>
  </si>
  <si>
    <t>1 м</t>
  </si>
  <si>
    <t>в санитарных приборах (в сифоне, раковине, в ванне)</t>
  </si>
  <si>
    <t>1прибор</t>
  </si>
  <si>
    <t>Электромонтажные работы</t>
  </si>
  <si>
    <t>Демонтаж электропроводки со снятием и отсоединением жил и изоляторов</t>
  </si>
  <si>
    <t>ТЕРр67-1-1</t>
  </si>
  <si>
    <t>1м</t>
  </si>
  <si>
    <t>Монтаж проводов с соединением жил и прозвонкой</t>
  </si>
  <si>
    <t>ТЕР м 08-02-147-10</t>
  </si>
  <si>
    <t>100м</t>
  </si>
  <si>
    <t>Монтаж кабеля, приложенного с креплением скобами</t>
  </si>
  <si>
    <t>ТЕРр67-3-1</t>
  </si>
  <si>
    <t>Монтаж кабеля по строительным контсрукциям на скобах</t>
  </si>
  <si>
    <t>ТЕРм08-02-401-01</t>
  </si>
  <si>
    <t>100 м</t>
  </si>
  <si>
    <t>Монтаж электроприборов (выключатели, розетки)</t>
  </si>
  <si>
    <t>ТЕРр67-4-1</t>
  </si>
  <si>
    <t>мнтаж электробиров (выключатели, розетки)</t>
  </si>
  <si>
    <t>ТЕРм08-03-591-08, 08-03-591-01</t>
  </si>
  <si>
    <t>Смена светильников для ламп накаливания</t>
  </si>
  <si>
    <t>ТЕРр67-8-1</t>
  </si>
  <si>
    <t>Смена светильников для люминисцентных ламп накаливания</t>
  </si>
  <si>
    <t>ТЕРр67-8-2</t>
  </si>
  <si>
    <t xml:space="preserve">Смена автоматических выключателей </t>
  </si>
  <si>
    <t>ТЕРм 08-03-526-01</t>
  </si>
  <si>
    <t>Смена пакетных переключателей вводно-распределительных устройств</t>
  </si>
  <si>
    <t>ТЕРм 08-03-525-01</t>
  </si>
  <si>
    <t>Устанвока щитов на стену с креплением дюбелями</t>
  </si>
  <si>
    <t>ТЕРм 08-03-599-09</t>
  </si>
  <si>
    <t>Ремонт групповых щитов со сменой автоматов</t>
  </si>
  <si>
    <t>ТЕРр 67-14-1</t>
  </si>
  <si>
    <t>Установка крюков, кронштейнов, шпилек</t>
  </si>
  <si>
    <t>ТЕРм 08-03-593-17</t>
  </si>
  <si>
    <t>1шт.</t>
  </si>
  <si>
    <t>Замена стенного или потолочного патрона</t>
  </si>
  <si>
    <t>ТЕРР 67-11-1</t>
  </si>
  <si>
    <t>Монтаж светильников для люминисцентных ламп с количеством ламп: 1 лампа</t>
  </si>
  <si>
    <t>ТЕРм08-03-594</t>
  </si>
  <si>
    <t>ГЭСНр67-10-1</t>
  </si>
  <si>
    <t>Монтаж электросчетчика</t>
  </si>
  <si>
    <t>ТЕРр 67-04-06</t>
  </si>
  <si>
    <t xml:space="preserve">Замена электросчетчика </t>
  </si>
  <si>
    <t>Монтаж счетчика однофазного</t>
  </si>
  <si>
    <t>ТЕРм 08-03-600-01</t>
  </si>
  <si>
    <t>Монтаж труб.гофры,ВГП, для электропроводки по конструкциям Д=25</t>
  </si>
  <si>
    <t>ТЕРм 08-02-409-01</t>
  </si>
  <si>
    <t>Установка звонка электрического с кнопкой</t>
  </si>
  <si>
    <t>ТЕРм 08-03-604-01</t>
  </si>
  <si>
    <t>Ремонт наполных стационарных электроплит</t>
  </si>
  <si>
    <t>Замена ТЭНов</t>
  </si>
  <si>
    <t>1ТЭН</t>
  </si>
  <si>
    <t>Замена ручки переключателя</t>
  </si>
  <si>
    <t>Замена автовыключателя</t>
  </si>
  <si>
    <t>Замена штепсельного разъема (вилки и розетки)</t>
  </si>
  <si>
    <t>Ремонтпереключателя на месте (с зачисткой контактов)</t>
  </si>
  <si>
    <t>Замена стационарных электроплит</t>
  </si>
  <si>
    <t>1эл.плита</t>
  </si>
  <si>
    <t>Ремонтно-строительны работы</t>
  </si>
  <si>
    <t>Замена неисправного замка (врезного)</t>
  </si>
  <si>
    <t>ТЕРр56-12-5</t>
  </si>
  <si>
    <t>Замена неисправного замка (накладного)</t>
  </si>
  <si>
    <t>ТЕРр56-12-6</t>
  </si>
  <si>
    <t>Замена оконых ручек</t>
  </si>
  <si>
    <t>ТЕРр 56-12-11</t>
  </si>
  <si>
    <t>Замена дверных ручек</t>
  </si>
  <si>
    <t>ТЕРр56-12-3</t>
  </si>
  <si>
    <t>Открытие входной двери при утере жильцами ключа</t>
  </si>
  <si>
    <t>20.1.85№43,44,46</t>
  </si>
  <si>
    <t>Замена дверных полотен</t>
  </si>
  <si>
    <t>ТЕРр56-10-01 56-21-01</t>
  </si>
  <si>
    <t>1 полотно</t>
  </si>
  <si>
    <t>Замена глазка во входную дверь квартиры</t>
  </si>
  <si>
    <t>20.1.92 №5</t>
  </si>
  <si>
    <t>10-01-027-07</t>
  </si>
  <si>
    <t>1кв.м</t>
  </si>
  <si>
    <t>Монтаж оконного блока</t>
  </si>
  <si>
    <t>ТЕРр56-01-03;56-02-02</t>
  </si>
  <si>
    <t>Установка оконных блоков вручную в деревянных стенах</t>
  </si>
  <si>
    <t>Установка оконных блоков вручную в капитальных стенах</t>
  </si>
  <si>
    <t>15-05-001-01;Тер 10-01-027-07; 46-04-012-01</t>
  </si>
  <si>
    <t>Замена дверных блоков, вручную в капитальных стенах</t>
  </si>
  <si>
    <t>ТЕР46-04-012-03; 10-01-039-01</t>
  </si>
  <si>
    <t>Замена дверных блоков, вручную в деревянных стенах</t>
  </si>
  <si>
    <t>ТЕР46-04-012-03; 10-01-039-03</t>
  </si>
  <si>
    <t>Ремонт полов со сменой досок</t>
  </si>
  <si>
    <t>ТЕРр57-4-5</t>
  </si>
  <si>
    <t>Устройство плинтусов</t>
  </si>
  <si>
    <t>ТЕР 11-01-019-01</t>
  </si>
  <si>
    <t>1п.м</t>
  </si>
  <si>
    <t>Обивка дверей дермантином</t>
  </si>
  <si>
    <t>ТЕРр56-19-01</t>
  </si>
  <si>
    <t>Стекольные работы</t>
  </si>
  <si>
    <t>ТЕРр63-2-1</t>
  </si>
  <si>
    <t>Смена в квартире разбитых жильцами стекол при площади стекла до 0,25 м2</t>
  </si>
  <si>
    <t>Смена в квартире разбитых жильцами стекол при площади стекла до 0,5 м2</t>
  </si>
  <si>
    <t>ТЕРр63-2-2</t>
  </si>
  <si>
    <t>Смена в квартире разбитых жильцами стекол при площади стекла до 1 м2</t>
  </si>
  <si>
    <t>ТЕРр63-2-3</t>
  </si>
  <si>
    <t>Санитарно-технические работы</t>
  </si>
  <si>
    <t>Смена кронштейнов для сантехнического оборудования</t>
  </si>
  <si>
    <t>ТЕРр 65-6-12</t>
  </si>
  <si>
    <t>Смена смывной трубы смывного бачка с перекрытием квартирного крана</t>
  </si>
  <si>
    <t>1труба</t>
  </si>
  <si>
    <t>Смена смывной трубы смывного бачка с перекрытием системы всего дома 20 мин.</t>
  </si>
  <si>
    <t xml:space="preserve">Смена резиновых манжет унитаза  </t>
  </si>
  <si>
    <t xml:space="preserve">1манжета </t>
  </si>
  <si>
    <t>Смена или установка сифона раковины ли ванны</t>
  </si>
  <si>
    <t>Смена трапов со съемной решеткой</t>
  </si>
  <si>
    <t>Смена душа на гибком шланге с отключением системы в квартире</t>
  </si>
  <si>
    <t>Смена душа на гибком шланге с отключением системы в доме 20мин.</t>
  </si>
  <si>
    <t>Смена трубки гибкого шланга, при квартирном выключении</t>
  </si>
  <si>
    <t>Смена трубки гибкого шланга, при  выключении системы всего дома 20 мин.</t>
  </si>
  <si>
    <t xml:space="preserve">         Согласовано:</t>
  </si>
  <si>
    <t xml:space="preserve"> Заместитель директора  </t>
  </si>
  <si>
    <t>по финансам и экономике</t>
  </si>
  <si>
    <t>______________ Э.Н.Бакиева</t>
  </si>
  <si>
    <t>"____" _____________ 2014г.</t>
  </si>
  <si>
    <t>Утверждаю:</t>
  </si>
  <si>
    <t>Директор МП " Водоканал"</t>
  </si>
  <si>
    <t>"_______"________________2014 г.</t>
  </si>
  <si>
    <t>______________________С.А.Волчков</t>
  </si>
  <si>
    <t>Работы по установке счетчиков воды и тепла</t>
  </si>
  <si>
    <t>ТЕР 17-03-001-01</t>
  </si>
  <si>
    <t>ТЕР 17-03-001-02</t>
  </si>
  <si>
    <t>ТЕРр65-06-21</t>
  </si>
  <si>
    <t>Установка счетчика горячей и холодной воды d 15-20 мм без фильтрф</t>
  </si>
  <si>
    <t>Установка счетчика горячей и холодной воды d 15-20 мм с фильтром</t>
  </si>
  <si>
    <t>Смена счетчика на ХВС, ГВС 15-20 мм. с проверкой работы счетчика</t>
  </si>
  <si>
    <t>Смена счетчика по учету тепла d 15-20 мм. с проверкой работы счетчика</t>
  </si>
  <si>
    <t>ТЕРм11-02-002-02,65-13-02 прим.</t>
  </si>
  <si>
    <t>Страховые взносы 30,3 %</t>
  </si>
  <si>
    <t xml:space="preserve">Смена счетчика на ХВС, ГВС 15-20 мм. </t>
  </si>
  <si>
    <t>Ремонт напольных стационарных электроплит</t>
  </si>
  <si>
    <t xml:space="preserve">Демонтаж счетчика по учету тепла d 15-20 мм. </t>
  </si>
  <si>
    <t xml:space="preserve">Монтаж счетчика по учету тепла d 15-20 мм. </t>
  </si>
  <si>
    <t>Прочистка канализации в кухне</t>
  </si>
  <si>
    <t>Замена прокладки гибкой подводки на кране</t>
  </si>
  <si>
    <t>Перепаковка отсекающего крана на стиральной машине</t>
  </si>
  <si>
    <t>Замена прокладки на полотенцесушителе</t>
  </si>
  <si>
    <t>Замена прокладки на теплосчетчике</t>
  </si>
  <si>
    <t xml:space="preserve">Промывка грязевика на ХВС,ГВС </t>
  </si>
  <si>
    <t xml:space="preserve">Замена обратного клапана ГВС,ХВС </t>
  </si>
  <si>
    <t>ТЕРр65-10-1И2Приказ минстроя России от 14.03.14 №97/пр</t>
  </si>
  <si>
    <t>1м.</t>
  </si>
  <si>
    <t>Демонтаж унитаза</t>
  </si>
  <si>
    <t>Монтаж унитаза со смывным бачком</t>
  </si>
  <si>
    <t>Замена запорной арматуры смывного бачка</t>
  </si>
  <si>
    <t>Монтаж керамического умывальника со сборкой сливного сифона и смесителя</t>
  </si>
  <si>
    <t>Демонтаж мойки  на одно отделение</t>
  </si>
  <si>
    <t>Монтаж мойки  на одно отделение со сборкой сливного сифона и смесителя</t>
  </si>
  <si>
    <t>Демонтаж  полотенцесушителя на резьбовых соединениях при наличии исправной отсекающей арматуры</t>
  </si>
  <si>
    <t xml:space="preserve">Монтаж  полотенцесушителя на резьбовых соединениях </t>
  </si>
  <si>
    <t>Демонтаж ванны (чугун)</t>
  </si>
  <si>
    <t>Демонтаж  ванны (сталь)</t>
  </si>
  <si>
    <t>Демонтаж ванны (акрил)</t>
  </si>
  <si>
    <t>Монтаж ванны  чугун</t>
  </si>
  <si>
    <t>Монтаж ванны (акрил) со сборкой сливного сифона, смесителем и системой гидромассажа</t>
  </si>
  <si>
    <t xml:space="preserve">Демонтаж  смесителя </t>
  </si>
  <si>
    <t>Монтаж смесителя  с душевой сеткой</t>
  </si>
  <si>
    <t>Демонтаж радиаторных батарей  при отсутствии отсекающего крана в квартире (сброс, воды из системы)</t>
  </si>
  <si>
    <t xml:space="preserve">Демонтаж радиаторных батарей  при наличии отсекающего крана в квартире </t>
  </si>
  <si>
    <t>Замена межсекционных прокладок в старых радиаторах (каждая дополнительная секция)</t>
  </si>
  <si>
    <t>Смена головки для смесителей холодной и горячей воды</t>
  </si>
  <si>
    <t xml:space="preserve">Добавление секции радиаторов </t>
  </si>
  <si>
    <t>Снятие секций радиаторов</t>
  </si>
  <si>
    <t>Установка водонагревателя (титан) с подготовкой внутриквартирной сети</t>
  </si>
  <si>
    <t>Демонтаж водонагревателя (титан)</t>
  </si>
  <si>
    <t>Монтаж водонагревателя (титан) на подготовленное место внутриквартирной сети</t>
  </si>
  <si>
    <t>Смена душа на гибком шланге</t>
  </si>
  <si>
    <t>Смена трубки гибкого шланга</t>
  </si>
  <si>
    <t>Разбор, очистка и сборка канализационного сифона</t>
  </si>
  <si>
    <t>Устранение течи резьбового соединения (типа "американка") путем протяжки</t>
  </si>
  <si>
    <t>Замена прокладки на ИПУ тепла или воды</t>
  </si>
  <si>
    <t>Демонтаж счетчика по учету тепла d 15-20 мм. с установкой имитатора</t>
  </si>
  <si>
    <t>Монтаж счетчика по учету тепла d 15-20 мм. с удалением имитатора</t>
  </si>
  <si>
    <t>Установка фильтра тонкой очистки с подготовкой сети</t>
  </si>
  <si>
    <t>Замена корпуса фильтра тонкой очистки</t>
  </si>
  <si>
    <t>Замена картриджа фильтра тонкой очистки</t>
  </si>
  <si>
    <t>Замена соединительного фитинга наметалопластиковой трубе д 15-20мм</t>
  </si>
  <si>
    <t>Замена тройного фитинга на металопластиковой трубе д 15-20мм</t>
  </si>
  <si>
    <t>Замена поврежденного участка  металопластиковой трубы д 15-20мм (без замены фитингов)</t>
  </si>
  <si>
    <t>Демонтаж керамического умывальника без сохранения целостности</t>
  </si>
  <si>
    <t>Смена гибкой гофрированной трубы  унитаза д 100 мм (без демонтажа унитаза)</t>
  </si>
  <si>
    <t>Отключение общедомового стояка системы ХВС</t>
  </si>
  <si>
    <t>Отключение общедомового стояка системы ГВС</t>
  </si>
  <si>
    <t xml:space="preserve">Отключение общедомового стояка системы отопления при  этажности 3-5 </t>
  </si>
  <si>
    <t>Отключение общедомового стояка системы отопления в домах этажностью выше 3-5  с увеличением  выполнения работ на 0,4 часа за каждый этаж</t>
  </si>
  <si>
    <t>Балансировка внутриквартирной системы отопления</t>
  </si>
  <si>
    <t>Замена концевого фитинга на батарее, установка терморегулятора, установка или замена крана "маевского"</t>
  </si>
  <si>
    <t xml:space="preserve">мнтаж силовой розетки </t>
  </si>
  <si>
    <t>Устранение течи  фитинга на металопластиковой трубе д 15-20мм путем протяжки</t>
  </si>
  <si>
    <t>Монтаж ванны (акрил) со сборкой сливного сифона, смесителя с душевой лейкой</t>
  </si>
  <si>
    <t>________________Н.Н.Молчанов</t>
  </si>
  <si>
    <t>Стоимость 1 часа  санитрано-технических работ</t>
  </si>
  <si>
    <t>"_______"________________2016 г.</t>
  </si>
  <si>
    <t>1 час</t>
  </si>
  <si>
    <t>ТЕР р  65-6-9</t>
  </si>
  <si>
    <t>ТЕР р 65-5-7</t>
  </si>
  <si>
    <t>ТЕР р 65-5-6</t>
  </si>
  <si>
    <t>Монтаж  ванны (сталь)</t>
  </si>
  <si>
    <t>Монтаж смесителя без душевой сетки</t>
  </si>
  <si>
    <t>одна секция</t>
  </si>
  <si>
    <t xml:space="preserve">Замена межсекционных прокладок в старых радиаторах </t>
  </si>
  <si>
    <t>каждая дополнительная секция</t>
  </si>
  <si>
    <t>Добавление секций радиаторов</t>
  </si>
  <si>
    <t xml:space="preserve">Добавление секций радиаторов </t>
  </si>
  <si>
    <t>1 кв.</t>
  </si>
  <si>
    <t>Запуск внутриквартирной системы отопления</t>
  </si>
  <si>
    <t>Смена сифона раковины или ванны</t>
  </si>
  <si>
    <t>Замена крана в системе отопления</t>
  </si>
  <si>
    <t>"____" _____________ 2016г.</t>
  </si>
  <si>
    <t>Трудозатраты  час</t>
  </si>
  <si>
    <t>ТЕРр 67-1-1</t>
  </si>
  <si>
    <t>В трубопроводах канализации</t>
  </si>
  <si>
    <t>Унитаза</t>
  </si>
  <si>
    <t>Замена оконных ручек</t>
  </si>
  <si>
    <t>Демонтаж керамического умывальника с сохранением целостности</t>
  </si>
  <si>
    <t>Себестоимость услуги (с НДС) руб.</t>
  </si>
  <si>
    <t>ТЕР р  65-4-2</t>
  </si>
  <si>
    <t>Таблица 65-4</t>
  </si>
  <si>
    <t>умывальников и раковин</t>
  </si>
  <si>
    <t>65-4-1</t>
  </si>
  <si>
    <t>унитазов и писуаров</t>
  </si>
  <si>
    <t>65-4-2</t>
  </si>
  <si>
    <t>моек</t>
  </si>
  <si>
    <t>65-4-3</t>
  </si>
  <si>
    <t>ванн</t>
  </si>
  <si>
    <t>65-4-4</t>
  </si>
  <si>
    <t>смывных труб</t>
  </si>
  <si>
    <t>65-4-5</t>
  </si>
  <si>
    <t>сидений к унитазам</t>
  </si>
  <si>
    <t>65-4-6</t>
  </si>
  <si>
    <t>сифонов</t>
  </si>
  <si>
    <t>65-4-7</t>
  </si>
  <si>
    <t>смывных бачков чугунных или фаянсовых на стене</t>
  </si>
  <si>
    <t>65-4-8</t>
  </si>
  <si>
    <t>смывных бачков пластмассовых на стене</t>
  </si>
  <si>
    <t>65-4-9</t>
  </si>
  <si>
    <t>смывных бачков фаянсовых на унитазе</t>
  </si>
  <si>
    <t>65-4-10</t>
  </si>
  <si>
    <t>биде</t>
  </si>
  <si>
    <t>65-4-11</t>
  </si>
  <si>
    <t>Демонтаж санитарно-технических приборов</t>
  </si>
  <si>
    <t>Таблица 65-2</t>
  </si>
  <si>
    <t>Разборка трубопроводов из чугунных канализационных труб диаметром до :</t>
  </si>
  <si>
    <t>50 мм</t>
  </si>
  <si>
    <t>100 мм</t>
  </si>
  <si>
    <t>65-2-1</t>
  </si>
  <si>
    <t>65-2-2</t>
  </si>
  <si>
    <t>Таблица 65-3</t>
  </si>
  <si>
    <t>Снятие арматуры</t>
  </si>
  <si>
    <t>кранов водоразборных или туалетных</t>
  </si>
  <si>
    <t>65-3-1</t>
  </si>
  <si>
    <t>клапанов фланцевых приемных до :</t>
  </si>
  <si>
    <t xml:space="preserve">50мм </t>
  </si>
  <si>
    <t>65-3-2</t>
  </si>
  <si>
    <t>65-3-3</t>
  </si>
  <si>
    <t>клапанов фланцевых обратных до :</t>
  </si>
  <si>
    <t>65-3-4</t>
  </si>
  <si>
    <t>65-3-5</t>
  </si>
  <si>
    <t>смесителя с душевой сеткой</t>
  </si>
  <si>
    <t>смесителя без  душевой сетки</t>
  </si>
  <si>
    <t>65-3-6</t>
  </si>
  <si>
    <t>65-3-7</t>
  </si>
  <si>
    <t>Таблица 65-5</t>
  </si>
  <si>
    <t>Смена арматуры</t>
  </si>
  <si>
    <t>Вентилей и клапанов обратных муфтовых диаметром до :</t>
  </si>
  <si>
    <t>20 мм</t>
  </si>
  <si>
    <t>32мм</t>
  </si>
  <si>
    <t>65-5-1</t>
  </si>
  <si>
    <t>65-5-2</t>
  </si>
  <si>
    <t>65-5-3</t>
  </si>
  <si>
    <t>кранов писсуарных</t>
  </si>
  <si>
    <t>65-5-4</t>
  </si>
  <si>
    <t>65-5-5</t>
  </si>
  <si>
    <t>65-5-6</t>
  </si>
  <si>
    <t>65-5-7</t>
  </si>
  <si>
    <t>кранов водоразборных и туалетных</t>
  </si>
  <si>
    <t>Таблица 65-6</t>
  </si>
  <si>
    <t>Смена санитарно-технических приборов</t>
  </si>
  <si>
    <t>смена трапов до 50 мм</t>
  </si>
  <si>
    <t>65-6-1</t>
  </si>
  <si>
    <t>смена трапов до 100 мм</t>
  </si>
  <si>
    <t>65-6-2</t>
  </si>
  <si>
    <t>смена сифонов чугунных</t>
  </si>
  <si>
    <t>65-6-3</t>
  </si>
  <si>
    <t>смена писсуаров</t>
  </si>
  <si>
    <t>65-6-4</t>
  </si>
  <si>
    <t>смена сиденья к унитазам</t>
  </si>
  <si>
    <t>65-6-5</t>
  </si>
  <si>
    <t>смена манжетов резиновых к унитазам</t>
  </si>
  <si>
    <t>65-6-6</t>
  </si>
  <si>
    <t>смена труб с резиновыми манжетами</t>
  </si>
  <si>
    <t>65-6-7</t>
  </si>
  <si>
    <t>выпусков к умывальникам и мойкам</t>
  </si>
  <si>
    <t>65-6-8</t>
  </si>
  <si>
    <t>смывных бачков</t>
  </si>
  <si>
    <t>гибких подводок</t>
  </si>
  <si>
    <t>65-6-9</t>
  </si>
  <si>
    <t>65-6-10</t>
  </si>
  <si>
    <t>смывных кранов</t>
  </si>
  <si>
    <t>65-6-11</t>
  </si>
  <si>
    <t>униитаза типа "компакт"</t>
  </si>
  <si>
    <t>65-6-12</t>
  </si>
  <si>
    <t>чаш  "Генуя"</t>
  </si>
  <si>
    <t>унитазов</t>
  </si>
  <si>
    <t>моек на 1 отделение</t>
  </si>
  <si>
    <t>65-6-13</t>
  </si>
  <si>
    <t>65-6-14</t>
  </si>
  <si>
    <t>65-6-15</t>
  </si>
  <si>
    <t>моек на 2 отделения</t>
  </si>
  <si>
    <t>65-6-16</t>
  </si>
  <si>
    <t>ванн чугунных</t>
  </si>
  <si>
    <t>65-6-17</t>
  </si>
  <si>
    <t>ванн стальных</t>
  </si>
  <si>
    <t>65-6-18</t>
  </si>
  <si>
    <t>раковин</t>
  </si>
  <si>
    <t>65-6-19</t>
  </si>
  <si>
    <t>полотенцесушителей (без сварщиков)</t>
  </si>
  <si>
    <t>65-6-20</t>
  </si>
  <si>
    <t>водомеров диаметром до 65 мм (без сварщиков)</t>
  </si>
  <si>
    <t>водомеров диаметром до 100 мм (без сварщиков)</t>
  </si>
  <si>
    <t>65-6-21</t>
  </si>
  <si>
    <t>65-6-22</t>
  </si>
  <si>
    <t>водосточных воронок</t>
  </si>
  <si>
    <t xml:space="preserve">умывальников </t>
  </si>
  <si>
    <t>65-6-23</t>
  </si>
  <si>
    <t>65-6-24</t>
  </si>
  <si>
    <t>шарового крана смывного бачка</t>
  </si>
  <si>
    <t>65-6-25</t>
  </si>
  <si>
    <t>регулировка смывного бачка</t>
  </si>
  <si>
    <t>65-6-26</t>
  </si>
  <si>
    <t>Таблица 65-7</t>
  </si>
  <si>
    <t>Смена внутренних трубопроводов</t>
  </si>
  <si>
    <t xml:space="preserve">10 мм </t>
  </si>
  <si>
    <t>65-7-1</t>
  </si>
  <si>
    <t>65-7-2</t>
  </si>
  <si>
    <t>Таблица 65-8</t>
  </si>
  <si>
    <t>из чугунных канализационных труб до :</t>
  </si>
  <si>
    <t>из полиэтиленовых канализационных труб до :</t>
  </si>
  <si>
    <t>Таблица 65-9</t>
  </si>
  <si>
    <t>из стальных труб до</t>
  </si>
  <si>
    <t>65-8-1</t>
  </si>
  <si>
    <t>65-8-2</t>
  </si>
  <si>
    <t>15 мм</t>
  </si>
  <si>
    <t>25 мм</t>
  </si>
  <si>
    <t>32 мм</t>
  </si>
  <si>
    <t>40 мм</t>
  </si>
  <si>
    <t>65 мм</t>
  </si>
  <si>
    <t>65,9-1</t>
  </si>
  <si>
    <t>65-9-2</t>
  </si>
  <si>
    <t>65-9-3</t>
  </si>
  <si>
    <t>65-9-4</t>
  </si>
  <si>
    <t>65-9-5</t>
  </si>
  <si>
    <t>65-9-6</t>
  </si>
  <si>
    <t>65-9-7</t>
  </si>
  <si>
    <t>замена внутренних трубопроводов водоснабжения из стальных труб на многослойные металл-полимерные трубы до :</t>
  </si>
  <si>
    <t>65,9-10</t>
  </si>
  <si>
    <t>65-9-11</t>
  </si>
  <si>
    <t>65-9-12</t>
  </si>
  <si>
    <t>Таблица 65-10</t>
  </si>
  <si>
    <t>Прочистка канализационной сети</t>
  </si>
  <si>
    <t>внутренней (по вине заказчика)</t>
  </si>
  <si>
    <t>Таблица 65-16</t>
  </si>
  <si>
    <t>Обоснование ТЕР</t>
  </si>
  <si>
    <t>Смена сгонов у трубопроводов</t>
  </si>
  <si>
    <t>65-16-1</t>
  </si>
  <si>
    <t>65-16-2</t>
  </si>
  <si>
    <t>65-16-3</t>
  </si>
  <si>
    <t>Таблица 65-19</t>
  </si>
  <si>
    <t>Демонтаж нагревательных приборов</t>
  </si>
  <si>
    <t>80 кг</t>
  </si>
  <si>
    <t>160 кг</t>
  </si>
  <si>
    <t>240 кг</t>
  </si>
  <si>
    <t>демонтаж ребристых труб</t>
  </si>
  <si>
    <t>демонтаж конвекторов</t>
  </si>
  <si>
    <t>65-19-1</t>
  </si>
  <si>
    <t>65-19-2</t>
  </si>
  <si>
    <t>65-19-3</t>
  </si>
  <si>
    <t>65-19-4</t>
  </si>
  <si>
    <t>65-19-5</t>
  </si>
  <si>
    <t>Таблица 65-20</t>
  </si>
  <si>
    <t>перегруппировка с отсоединением и обратным присоединением одной секции при весе радиатора до</t>
  </si>
  <si>
    <t>добавлять на каждую секцию сверх первой</t>
  </si>
  <si>
    <t>65-20-1</t>
  </si>
  <si>
    <t>65-20-2</t>
  </si>
  <si>
    <t>65-20-3</t>
  </si>
  <si>
    <t>65-20-4</t>
  </si>
  <si>
    <t>Таблица 65-21</t>
  </si>
  <si>
    <t>крайних</t>
  </si>
  <si>
    <t>средних</t>
  </si>
  <si>
    <t>65-21-1</t>
  </si>
  <si>
    <t>65-21-2</t>
  </si>
  <si>
    <t>Добавление секций радиаторов одной или двух</t>
  </si>
  <si>
    <t>Снятие секций радиаторов одной или двух</t>
  </si>
  <si>
    <t>65-21-3</t>
  </si>
  <si>
    <t>65-21-4</t>
  </si>
  <si>
    <t>Слив и наполнение водой системы отопления</t>
  </si>
  <si>
    <t>Таблица 65-23</t>
  </si>
  <si>
    <t>Осмотр отремонтированных приборов отопления при наполнении системы водой</t>
  </si>
  <si>
    <t>Таблица 65-24</t>
  </si>
  <si>
    <t>Проверка на прогрев отопительных приборов с регулировкой</t>
  </si>
  <si>
    <t>проверка на прогрев приборов</t>
  </si>
  <si>
    <t>65-23-4</t>
  </si>
  <si>
    <t>65-24-1</t>
  </si>
  <si>
    <t>Таблица 65-25</t>
  </si>
  <si>
    <t>Смена кранов</t>
  </si>
  <si>
    <t>воздушных кранов радиаторов</t>
  </si>
  <si>
    <t>пробко-спускных кранов</t>
  </si>
  <si>
    <t>кранов двойной регулировки</t>
  </si>
  <si>
    <t>65-25-1</t>
  </si>
  <si>
    <t>65-25-2</t>
  </si>
  <si>
    <t>65-25-3</t>
  </si>
  <si>
    <t>65-10-1</t>
  </si>
  <si>
    <t>Замена соединительного фитинга на металопластиковой трубе д 15-20мм</t>
  </si>
  <si>
    <t>Работы по установке счетчиков воды и тепла ( в соотвествии с калькуляциями МП"Водоканал))</t>
  </si>
  <si>
    <t>67-1-1</t>
  </si>
  <si>
    <t>67-1-2</t>
  </si>
  <si>
    <t>Демонтаж осветительных приборов</t>
  </si>
  <si>
    <t>Демонтаж электропроводки</t>
  </si>
  <si>
    <t>выключателей, розеток</t>
  </si>
  <si>
    <t>Таблица 67-4</t>
  </si>
  <si>
    <t>Таблица 67-1</t>
  </si>
  <si>
    <t>67-4-1</t>
  </si>
  <si>
    <t>патронов,подвесок</t>
  </si>
  <si>
    <t>67-4-2</t>
  </si>
  <si>
    <t>светильников с лампами накаливания</t>
  </si>
  <si>
    <t>67-4-3</t>
  </si>
  <si>
    <t>бра, плафонов</t>
  </si>
  <si>
    <t>67-4-4</t>
  </si>
  <si>
    <t>светильников для люминисцентных ламп</t>
  </si>
  <si>
    <t>67-4-5</t>
  </si>
  <si>
    <t>электросчетчиков</t>
  </si>
  <si>
    <t>67-4-6</t>
  </si>
  <si>
    <t>Таблица 67-5</t>
  </si>
  <si>
    <t>Смена ламп</t>
  </si>
  <si>
    <t>ламп накаливания</t>
  </si>
  <si>
    <t>67-5-1</t>
  </si>
  <si>
    <t>ламп люминисцентных</t>
  </si>
  <si>
    <t>67-5-2</t>
  </si>
  <si>
    <t>Таблица 67-7</t>
  </si>
  <si>
    <t>Смена пакетных выключателей</t>
  </si>
  <si>
    <t>выключатель</t>
  </si>
  <si>
    <t>67-7-1</t>
  </si>
  <si>
    <t>Таблица 67-8</t>
  </si>
  <si>
    <t>Смена  светильников</t>
  </si>
  <si>
    <t>67-8-1</t>
  </si>
  <si>
    <t>светильников  люминисцентными лампами</t>
  </si>
  <si>
    <t>67-8-2</t>
  </si>
  <si>
    <t>Таблица 67-9</t>
  </si>
  <si>
    <t>Смена  выключателей и розеток</t>
  </si>
  <si>
    <t xml:space="preserve">выключатели </t>
  </si>
  <si>
    <t>розетки</t>
  </si>
  <si>
    <t>67-9-1</t>
  </si>
  <si>
    <t>67-9-2</t>
  </si>
  <si>
    <t>Таблица 67-10</t>
  </si>
  <si>
    <t>Смена электросчетчиков</t>
  </si>
  <si>
    <t xml:space="preserve">электросчетчик </t>
  </si>
  <si>
    <t>67-10-1</t>
  </si>
  <si>
    <t>Таблица 67-11</t>
  </si>
  <si>
    <t>Смена патронов</t>
  </si>
  <si>
    <t>патрон</t>
  </si>
  <si>
    <t>67-11-1</t>
  </si>
  <si>
    <t>Таблица 08-2</t>
  </si>
  <si>
    <t>Монтаж электропроводки</t>
  </si>
  <si>
    <t>провод по деревянному основанию двух-трехжильных</t>
  </si>
  <si>
    <t>08-2-391-1</t>
  </si>
  <si>
    <t>м</t>
  </si>
  <si>
    <t>провод по роликам сечением до 2,5 мм</t>
  </si>
  <si>
    <t>08-2-392-1</t>
  </si>
  <si>
    <t>провод в защитной оболочке или кабель двух-трехжильный</t>
  </si>
  <si>
    <t>08-2-403</t>
  </si>
  <si>
    <t>в пустотах плит перекрытий</t>
  </si>
  <si>
    <t>08-2-403-1</t>
  </si>
  <si>
    <t>в готовых каналах стен и перекрытий</t>
  </si>
  <si>
    <t>08-2-403-2</t>
  </si>
  <si>
    <t>под штукатурку по стенам или в бороздах</t>
  </si>
  <si>
    <t>08-2-403-3</t>
  </si>
  <si>
    <t>по перекрытиям</t>
  </si>
  <si>
    <t>08-2-403-4</t>
  </si>
  <si>
    <t>провода по установленным стальным конструкциям и панелям, сечением 2-16 мм</t>
  </si>
  <si>
    <t>08-2-405-1</t>
  </si>
  <si>
    <t>Таблица 08-3</t>
  </si>
  <si>
    <t>Установка осветительных приборов</t>
  </si>
  <si>
    <t>выключатель одноклавишный неутопленного типа при открытой проводке</t>
  </si>
  <si>
    <t>08-3-591-1</t>
  </si>
  <si>
    <t>выключатель одноклавишный утопленного типа при скрытой проводке</t>
  </si>
  <si>
    <t>08-3-591-2</t>
  </si>
  <si>
    <t>выключатель одноклавишный полугерметический и герметический</t>
  </si>
  <si>
    <t>08-3-591-3</t>
  </si>
  <si>
    <t>выключатель двуклавишный неутопленного типа при открытой проводке</t>
  </si>
  <si>
    <t>08-3-591-4</t>
  </si>
  <si>
    <t>выключатель двуклавишный утопленного типа при скрытой проводке</t>
  </si>
  <si>
    <t>08-3-591-5</t>
  </si>
  <si>
    <t>переключатель неутопленного типа при открытой проводке</t>
  </si>
  <si>
    <t>08-3-591-6</t>
  </si>
  <si>
    <t>переключатель утопленного типа при скрытой проводке</t>
  </si>
  <si>
    <t>08-3-591-7</t>
  </si>
  <si>
    <t>розетка штепсельная неутопленного типа при открытой проводке</t>
  </si>
  <si>
    <t>08-3-591-8</t>
  </si>
  <si>
    <t>розетка штепсельная утопленного типа при скрытой проводке</t>
  </si>
  <si>
    <t>08-3-591-9</t>
  </si>
  <si>
    <t>розетка штепсельная полугерметическая и герметическая</t>
  </si>
  <si>
    <t>08-3-591-10</t>
  </si>
  <si>
    <t>розетка штепсельная трехполосная</t>
  </si>
  <si>
    <t>08-3-591-11</t>
  </si>
  <si>
    <t>блоки с тремя выключателями и одной штепсельной розеткой утопленного типа при скрытой проводке</t>
  </si>
  <si>
    <t>08-3-591-12</t>
  </si>
  <si>
    <t xml:space="preserve">патрон стенной и потолочный </t>
  </si>
  <si>
    <t>08-3-592-1</t>
  </si>
  <si>
    <t>патрон подвесной</t>
  </si>
  <si>
    <t>08-3-592-2</t>
  </si>
  <si>
    <t>светильник с подвеской на крюк для помещений с нормальными условиями среды</t>
  </si>
  <si>
    <t>08-3-593-1</t>
  </si>
  <si>
    <t>светильнтк настенный или потолочный с креплением винтами для помещения с нормальными условиями среды одноламповый</t>
  </si>
  <si>
    <t>светильнтк настенный или потолочный с креплением винтами для помещения с нормальными условиями среды двухламповый</t>
  </si>
  <si>
    <t>08-3-593-6</t>
  </si>
  <si>
    <t>08-3-593-7</t>
  </si>
  <si>
    <t>люстры и подвесы с количеством ламп до 5</t>
  </si>
  <si>
    <t>08-3-593-11</t>
  </si>
  <si>
    <t>люстры и подвесы с количеством ламп до 12</t>
  </si>
  <si>
    <t>светильник, отдельно устанавливаемый на подвесах (штангах), с  1 лампой в светильнике</t>
  </si>
  <si>
    <t>08-3-594-6</t>
  </si>
  <si>
    <t>светильник, отдельно устанавливаемый на подвесах (штангах), с  2 лампами в светильнике</t>
  </si>
  <si>
    <t>08-3-594-7</t>
  </si>
  <si>
    <t>светильник, отдельно устанавливаемый на подвесах (штангах),до  4 ламп в светильнике</t>
  </si>
  <si>
    <t>08-3-594-8</t>
  </si>
  <si>
    <t>светильник на кронштейнах</t>
  </si>
  <si>
    <t>08-3-594-9</t>
  </si>
  <si>
    <t xml:space="preserve">счетчик устанавливаемый на готовом основании однофазный </t>
  </si>
  <si>
    <t>08-3-600-1</t>
  </si>
  <si>
    <t>электрополотенце</t>
  </si>
  <si>
    <t>08-3-602-1</t>
  </si>
  <si>
    <t>электроплита</t>
  </si>
  <si>
    <t>08-3-602-2</t>
  </si>
  <si>
    <t>звонок с кнопкой</t>
  </si>
  <si>
    <t>08-3-604-1</t>
  </si>
  <si>
    <t>вентилятор</t>
  </si>
  <si>
    <t>08-3-605-1</t>
  </si>
  <si>
    <t>смена неисправного замка (врезного)</t>
  </si>
  <si>
    <t>56-12-5</t>
  </si>
  <si>
    <t>смена неисправного замка (накладного)</t>
  </si>
  <si>
    <t>56-12-6</t>
  </si>
  <si>
    <t>смена оконных ручек</t>
  </si>
  <si>
    <t xml:space="preserve"> 56-12-11</t>
  </si>
  <si>
    <t>смена дверных ручек</t>
  </si>
  <si>
    <t>56-12-3</t>
  </si>
  <si>
    <t>56-10-01 56-21-01</t>
  </si>
  <si>
    <t>56-01-03;56-02-02</t>
  </si>
  <si>
    <t>46-04-012-03; 10-01-039-03</t>
  </si>
  <si>
    <t>57-4-5</t>
  </si>
  <si>
    <t>56-19-01</t>
  </si>
  <si>
    <t>63-2-1</t>
  </si>
  <si>
    <t>63-2-2</t>
  </si>
  <si>
    <t>63-2-3</t>
  </si>
  <si>
    <t xml:space="preserve"> 11-01-019-01</t>
  </si>
  <si>
    <t>Приказ минстроя России от 14.03.14 №97/пр</t>
  </si>
  <si>
    <t>скрытая проводка</t>
  </si>
  <si>
    <t>шнур на роликах</t>
  </si>
  <si>
    <t>Перегруппировка секций старых радиаторов</t>
  </si>
  <si>
    <t>"_______"________________2017 г.</t>
  </si>
  <si>
    <t>"____" _____________ 2017г.</t>
  </si>
  <si>
    <t>Прейскурант цен на платные услуги, оказываемые населению (без стоимости материалов и транспортных расходов) на 2018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</si>
</sst>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18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2"/>
  <sheetViews>
    <sheetView zoomScalePageLayoutView="0" workbookViewId="0" topLeftCell="A2">
      <selection activeCell="B13" sqref="B13"/>
    </sheetView>
  </sheetViews>
  <sheetFormatPr defaultColWidth="9.140625" defaultRowHeight="12.75"/>
  <cols>
    <col min="1" max="1" width="29.28125" style="20" customWidth="1"/>
    <col min="2" max="2" width="9.421875" style="20" customWidth="1"/>
    <col min="3" max="3" width="7.7109375" style="20" customWidth="1"/>
    <col min="4" max="4" width="7.28125" style="20" hidden="1" customWidth="1"/>
    <col min="5" max="5" width="7.57421875" style="20" customWidth="1"/>
    <col min="6" max="6" width="8.57421875" style="20" customWidth="1"/>
    <col min="7" max="7" width="9.7109375" style="20" customWidth="1"/>
    <col min="8" max="8" width="9.140625" style="20" customWidth="1"/>
    <col min="9" max="9" width="9.28125" style="20" customWidth="1"/>
    <col min="10" max="10" width="12.00390625" style="20" bestFit="1" customWidth="1"/>
    <col min="11" max="11" width="11.7109375" style="0" customWidth="1"/>
  </cols>
  <sheetData>
    <row r="1" spans="6:10" ht="15">
      <c r="F1" s="50"/>
      <c r="G1" s="50"/>
      <c r="H1" s="57" t="s">
        <v>196</v>
      </c>
      <c r="I1" s="57"/>
      <c r="J1" s="57"/>
    </row>
    <row r="2" spans="7:10" ht="14.25">
      <c r="G2" s="58" t="s">
        <v>197</v>
      </c>
      <c r="H2" s="58"/>
      <c r="I2" s="58"/>
      <c r="J2" s="58"/>
    </row>
    <row r="3" spans="7:10" ht="14.25">
      <c r="G3" s="58" t="s">
        <v>271</v>
      </c>
      <c r="H3" s="58"/>
      <c r="I3" s="58"/>
      <c r="J3" s="58"/>
    </row>
    <row r="4" spans="6:7" ht="14.25">
      <c r="F4" s="51"/>
      <c r="G4" s="51"/>
    </row>
    <row r="5" spans="7:10" ht="14.25">
      <c r="G5" s="58" t="s">
        <v>273</v>
      </c>
      <c r="H5" s="58"/>
      <c r="I5" s="58"/>
      <c r="J5" s="58"/>
    </row>
    <row r="7" spans="1:10" ht="15">
      <c r="A7" s="21"/>
      <c r="B7" s="52" t="s">
        <v>9</v>
      </c>
      <c r="C7" s="52"/>
      <c r="D7" s="52"/>
      <c r="E7" s="52"/>
      <c r="F7" s="52"/>
      <c r="G7" s="52"/>
      <c r="H7" s="21"/>
      <c r="I7" s="21"/>
      <c r="J7" s="21"/>
    </row>
    <row r="8" spans="1:10" ht="15">
      <c r="A8" s="21"/>
      <c r="B8" s="52"/>
      <c r="C8" s="52"/>
      <c r="D8" s="52"/>
      <c r="E8" s="52"/>
      <c r="F8" s="52"/>
      <c r="G8" s="52"/>
      <c r="H8" s="21"/>
      <c r="I8" s="21"/>
      <c r="J8" s="21"/>
    </row>
    <row r="9" spans="1:11" ht="60">
      <c r="A9" s="22" t="s">
        <v>0</v>
      </c>
      <c r="B9" s="23" t="s">
        <v>1</v>
      </c>
      <c r="C9" s="22" t="s">
        <v>2</v>
      </c>
      <c r="D9" s="23" t="s">
        <v>3</v>
      </c>
      <c r="E9" s="23" t="s">
        <v>290</v>
      </c>
      <c r="F9" s="23" t="s">
        <v>5</v>
      </c>
      <c r="G9" s="23" t="s">
        <v>6</v>
      </c>
      <c r="H9" s="23" t="s">
        <v>209</v>
      </c>
      <c r="I9" s="23" t="s">
        <v>7</v>
      </c>
      <c r="J9" s="23" t="s">
        <v>8</v>
      </c>
      <c r="K9" s="23" t="s">
        <v>296</v>
      </c>
    </row>
    <row r="10" spans="1:11" ht="1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</row>
    <row r="11" spans="1:10" ht="15">
      <c r="A11" s="53" t="s">
        <v>10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1" ht="30">
      <c r="A12" s="25" t="s">
        <v>272</v>
      </c>
      <c r="B12" s="23" t="s">
        <v>275</v>
      </c>
      <c r="C12" s="22" t="s">
        <v>274</v>
      </c>
      <c r="D12" s="22">
        <v>4</v>
      </c>
      <c r="E12" s="22">
        <v>1</v>
      </c>
      <c r="F12" s="22">
        <v>236.59</v>
      </c>
      <c r="G12" s="26">
        <f aca="true" t="shared" si="0" ref="G12:G17">F12*E12</f>
        <v>236.59</v>
      </c>
      <c r="H12" s="26">
        <f>G12*30.3/100</f>
        <v>71.68677000000001</v>
      </c>
      <c r="I12" s="26">
        <f aca="true" t="shared" si="1" ref="I12:I17">G12*30/100</f>
        <v>70.977</v>
      </c>
      <c r="J12" s="26">
        <f aca="true" t="shared" si="2" ref="J12:J17">G12+H12+I12</f>
        <v>379.25377000000003</v>
      </c>
      <c r="K12" s="26">
        <f>J12*1.18</f>
        <v>447.51944860000003</v>
      </c>
    </row>
    <row r="13" spans="1:11" ht="30">
      <c r="A13" s="25" t="s">
        <v>223</v>
      </c>
      <c r="B13" s="23" t="s">
        <v>297</v>
      </c>
      <c r="C13" s="22" t="s">
        <v>13</v>
      </c>
      <c r="D13" s="22">
        <v>3.5</v>
      </c>
      <c r="E13" s="22">
        <v>1</v>
      </c>
      <c r="F13" s="22">
        <v>236.59</v>
      </c>
      <c r="G13" s="26">
        <f t="shared" si="0"/>
        <v>236.59</v>
      </c>
      <c r="H13" s="26">
        <f>G13*30.3/100</f>
        <v>71.68677000000001</v>
      </c>
      <c r="I13" s="26">
        <f t="shared" si="1"/>
        <v>70.977</v>
      </c>
      <c r="J13" s="26">
        <f t="shared" si="2"/>
        <v>379.25377000000003</v>
      </c>
      <c r="K13" s="26">
        <f aca="true" t="shared" si="3" ref="K13:K76">J13*1.18</f>
        <v>447.51944860000003</v>
      </c>
    </row>
    <row r="14" spans="1:11" ht="30">
      <c r="A14" s="25" t="s">
        <v>224</v>
      </c>
      <c r="B14" s="23" t="s">
        <v>275</v>
      </c>
      <c r="C14" s="22" t="s">
        <v>13</v>
      </c>
      <c r="D14" s="22">
        <v>3.5</v>
      </c>
      <c r="E14" s="22">
        <v>2</v>
      </c>
      <c r="F14" s="22">
        <v>236.59</v>
      </c>
      <c r="G14" s="26">
        <f t="shared" si="0"/>
        <v>473.18</v>
      </c>
      <c r="H14" s="26">
        <f>G14*30.3/100</f>
        <v>143.37354000000002</v>
      </c>
      <c r="I14" s="26">
        <f t="shared" si="1"/>
        <v>141.954</v>
      </c>
      <c r="J14" s="26">
        <f t="shared" si="2"/>
        <v>758.5075400000001</v>
      </c>
      <c r="K14" s="26">
        <f t="shared" si="3"/>
        <v>895.0388972000001</v>
      </c>
    </row>
    <row r="15" spans="1:11" ht="30">
      <c r="A15" s="25" t="s">
        <v>225</v>
      </c>
      <c r="B15" s="23" t="s">
        <v>275</v>
      </c>
      <c r="C15" s="22" t="s">
        <v>13</v>
      </c>
      <c r="D15" s="22">
        <v>3.5</v>
      </c>
      <c r="E15" s="22">
        <v>0.5</v>
      </c>
      <c r="F15" s="22">
        <f>F13</f>
        <v>236.59</v>
      </c>
      <c r="G15" s="22">
        <f t="shared" si="0"/>
        <v>118.295</v>
      </c>
      <c r="H15" s="26">
        <f>G15*30.3/100</f>
        <v>35.843385000000005</v>
      </c>
      <c r="I15" s="26">
        <f t="shared" si="1"/>
        <v>35.4885</v>
      </c>
      <c r="J15" s="26">
        <f t="shared" si="2"/>
        <v>189.62688500000002</v>
      </c>
      <c r="K15" s="26">
        <f t="shared" si="3"/>
        <v>223.75972430000002</v>
      </c>
    </row>
    <row r="16" spans="1:11" ht="30">
      <c r="A16" s="25" t="s">
        <v>16</v>
      </c>
      <c r="B16" s="23" t="s">
        <v>275</v>
      </c>
      <c r="C16" s="22" t="s">
        <v>19</v>
      </c>
      <c r="D16" s="22">
        <v>3.5</v>
      </c>
      <c r="E16" s="22">
        <v>1.5</v>
      </c>
      <c r="F16" s="22">
        <f aca="true" t="shared" si="4" ref="F16:F97">F15</f>
        <v>236.59</v>
      </c>
      <c r="G16" s="22">
        <f t="shared" si="0"/>
        <v>354.885</v>
      </c>
      <c r="H16" s="26">
        <f aca="true" t="shared" si="5" ref="H16:H51">G16*30.3/100</f>
        <v>107.530155</v>
      </c>
      <c r="I16" s="26">
        <f t="shared" si="1"/>
        <v>106.46549999999999</v>
      </c>
      <c r="J16" s="26">
        <f t="shared" si="2"/>
        <v>568.8806549999999</v>
      </c>
      <c r="K16" s="26">
        <f t="shared" si="3"/>
        <v>671.2791728999999</v>
      </c>
    </row>
    <row r="17" spans="1:11" ht="30" hidden="1">
      <c r="A17" s="25" t="s">
        <v>17</v>
      </c>
      <c r="B17" s="23" t="s">
        <v>18</v>
      </c>
      <c r="C17" s="22" t="s">
        <v>19</v>
      </c>
      <c r="D17" s="22">
        <v>3.5</v>
      </c>
      <c r="E17" s="22">
        <v>3.55</v>
      </c>
      <c r="F17" s="22">
        <f>F16</f>
        <v>236.59</v>
      </c>
      <c r="G17" s="26">
        <f t="shared" si="0"/>
        <v>839.8945</v>
      </c>
      <c r="H17" s="26">
        <f t="shared" si="5"/>
        <v>254.48803350000003</v>
      </c>
      <c r="I17" s="26">
        <f t="shared" si="1"/>
        <v>251.96835</v>
      </c>
      <c r="J17" s="26">
        <f t="shared" si="2"/>
        <v>1346.3508835000002</v>
      </c>
      <c r="K17" s="26">
        <f t="shared" si="3"/>
        <v>1588.6940425300002</v>
      </c>
    </row>
    <row r="18" spans="1:11" ht="45">
      <c r="A18" s="25" t="s">
        <v>260</v>
      </c>
      <c r="B18" s="23" t="s">
        <v>21</v>
      </c>
      <c r="C18" s="23" t="s">
        <v>22</v>
      </c>
      <c r="D18" s="22">
        <v>3.5</v>
      </c>
      <c r="E18" s="22">
        <v>0.513</v>
      </c>
      <c r="F18" s="22">
        <f>F17</f>
        <v>236.59</v>
      </c>
      <c r="G18" s="26">
        <f aca="true" t="shared" si="6" ref="G18:G62">F18*E18</f>
        <v>121.37067</v>
      </c>
      <c r="H18" s="26">
        <f t="shared" si="5"/>
        <v>36.77531301</v>
      </c>
      <c r="I18" s="26">
        <f aca="true" t="shared" si="7" ref="I18:I62">G18*30/100</f>
        <v>36.411201</v>
      </c>
      <c r="J18" s="26">
        <f aca="true" t="shared" si="8" ref="J18:J27">G18+H18+I18</f>
        <v>194.55718401000001</v>
      </c>
      <c r="K18" s="26">
        <f t="shared" si="3"/>
        <v>229.5774771318</v>
      </c>
    </row>
    <row r="19" spans="1:11" ht="50.25" customHeight="1">
      <c r="A19" s="25" t="s">
        <v>295</v>
      </c>
      <c r="B19" s="23" t="s">
        <v>21</v>
      </c>
      <c r="C19" s="23" t="s">
        <v>22</v>
      </c>
      <c r="D19" s="22">
        <v>3.5</v>
      </c>
      <c r="E19" s="22">
        <v>1.5</v>
      </c>
      <c r="F19" s="22">
        <f>F18</f>
        <v>236.59</v>
      </c>
      <c r="G19" s="26">
        <f>F19*E19</f>
        <v>354.885</v>
      </c>
      <c r="H19" s="26">
        <f>G19*30.3/100</f>
        <v>107.530155</v>
      </c>
      <c r="I19" s="26">
        <f>G19*30/100</f>
        <v>106.46549999999999</v>
      </c>
      <c r="J19" s="26">
        <f t="shared" si="8"/>
        <v>568.8806549999999</v>
      </c>
      <c r="K19" s="26">
        <f t="shared" si="3"/>
        <v>671.2791728999999</v>
      </c>
    </row>
    <row r="20" spans="1:11" ht="45">
      <c r="A20" s="25" t="s">
        <v>226</v>
      </c>
      <c r="B20" s="23" t="s">
        <v>21</v>
      </c>
      <c r="C20" s="23" t="s">
        <v>22</v>
      </c>
      <c r="D20" s="22">
        <v>3.5</v>
      </c>
      <c r="E20" s="22">
        <v>2</v>
      </c>
      <c r="F20" s="22">
        <f>F19</f>
        <v>236.59</v>
      </c>
      <c r="G20" s="26">
        <f>F20*E20</f>
        <v>473.18</v>
      </c>
      <c r="H20" s="26">
        <f>G20*30.3/100</f>
        <v>143.37354000000002</v>
      </c>
      <c r="I20" s="26">
        <f>G20*30/100</f>
        <v>141.954</v>
      </c>
      <c r="J20" s="26">
        <f t="shared" si="8"/>
        <v>758.5075400000001</v>
      </c>
      <c r="K20" s="26">
        <f t="shared" si="3"/>
        <v>895.0388972000001</v>
      </c>
    </row>
    <row r="21" spans="1:11" ht="30">
      <c r="A21" s="25" t="s">
        <v>227</v>
      </c>
      <c r="B21" s="23" t="s">
        <v>21</v>
      </c>
      <c r="C21" s="23" t="s">
        <v>22</v>
      </c>
      <c r="D21" s="22">
        <v>3.5</v>
      </c>
      <c r="E21" s="22">
        <v>1</v>
      </c>
      <c r="F21" s="22">
        <f>F20</f>
        <v>236.59</v>
      </c>
      <c r="G21" s="26">
        <f>F21*E21</f>
        <v>236.59</v>
      </c>
      <c r="H21" s="26">
        <f>G21*30.3/100</f>
        <v>71.68677000000001</v>
      </c>
      <c r="I21" s="26">
        <f>G21*30/100</f>
        <v>70.977</v>
      </c>
      <c r="J21" s="26">
        <f t="shared" si="8"/>
        <v>379.25377000000003</v>
      </c>
      <c r="K21" s="26">
        <f t="shared" si="3"/>
        <v>447.51944860000003</v>
      </c>
    </row>
    <row r="22" spans="1:11" ht="45">
      <c r="A22" s="25" t="s">
        <v>228</v>
      </c>
      <c r="B22" s="23" t="s">
        <v>24</v>
      </c>
      <c r="C22" s="23" t="s">
        <v>22</v>
      </c>
      <c r="D22" s="22">
        <v>3.5</v>
      </c>
      <c r="E22" s="22">
        <v>2</v>
      </c>
      <c r="F22" s="22">
        <f>F18</f>
        <v>236.59</v>
      </c>
      <c r="G22" s="26">
        <f t="shared" si="6"/>
        <v>473.18</v>
      </c>
      <c r="H22" s="26">
        <f t="shared" si="5"/>
        <v>143.37354000000002</v>
      </c>
      <c r="I22" s="26">
        <f t="shared" si="7"/>
        <v>141.954</v>
      </c>
      <c r="J22" s="26">
        <f t="shared" si="8"/>
        <v>758.5075400000001</v>
      </c>
      <c r="K22" s="26">
        <f t="shared" si="3"/>
        <v>895.0388972000001</v>
      </c>
    </row>
    <row r="23" spans="1:11" ht="30" hidden="1">
      <c r="A23" s="25" t="s">
        <v>25</v>
      </c>
      <c r="B23" s="23" t="s">
        <v>26</v>
      </c>
      <c r="C23" s="23" t="s">
        <v>19</v>
      </c>
      <c r="D23" s="22">
        <v>4</v>
      </c>
      <c r="E23" s="22">
        <v>1.732</v>
      </c>
      <c r="F23" s="22">
        <f t="shared" si="4"/>
        <v>236.59</v>
      </c>
      <c r="G23" s="26">
        <f t="shared" si="6"/>
        <v>409.77388</v>
      </c>
      <c r="H23" s="26">
        <f t="shared" si="5"/>
        <v>124.16148564000001</v>
      </c>
      <c r="I23" s="26">
        <f t="shared" si="7"/>
        <v>122.93216400000001</v>
      </c>
      <c r="J23" s="26">
        <f t="shared" si="8"/>
        <v>656.86752964</v>
      </c>
      <c r="K23" s="26">
        <f t="shared" si="3"/>
        <v>775.1036849752</v>
      </c>
    </row>
    <row r="24" spans="1:11" ht="30" hidden="1">
      <c r="A24" s="25" t="s">
        <v>27</v>
      </c>
      <c r="B24" s="23" t="s">
        <v>28</v>
      </c>
      <c r="C24" s="23" t="s">
        <v>22</v>
      </c>
      <c r="D24" s="22">
        <v>4</v>
      </c>
      <c r="E24" s="22">
        <v>2.165</v>
      </c>
      <c r="F24" s="22">
        <f t="shared" si="4"/>
        <v>236.59</v>
      </c>
      <c r="G24" s="26">
        <f t="shared" si="6"/>
        <v>512.21735</v>
      </c>
      <c r="H24" s="26">
        <f t="shared" si="5"/>
        <v>155.20185705</v>
      </c>
      <c r="I24" s="26">
        <f t="shared" si="7"/>
        <v>153.66520500000001</v>
      </c>
      <c r="J24" s="26">
        <f t="shared" si="8"/>
        <v>821.0844120500001</v>
      </c>
      <c r="K24" s="26">
        <f t="shared" si="3"/>
        <v>968.879606219</v>
      </c>
    </row>
    <row r="25" spans="1:11" ht="66" customHeight="1">
      <c r="A25" s="25" t="s">
        <v>229</v>
      </c>
      <c r="B25" s="23" t="s">
        <v>30</v>
      </c>
      <c r="C25" s="23" t="s">
        <v>22</v>
      </c>
      <c r="D25" s="22">
        <v>3.5</v>
      </c>
      <c r="E25" s="22">
        <v>0.5</v>
      </c>
      <c r="F25" s="22">
        <f t="shared" si="4"/>
        <v>236.59</v>
      </c>
      <c r="G25" s="26">
        <f t="shared" si="6"/>
        <v>118.295</v>
      </c>
      <c r="H25" s="26">
        <f t="shared" si="5"/>
        <v>35.843385000000005</v>
      </c>
      <c r="I25" s="26">
        <f t="shared" si="7"/>
        <v>35.4885</v>
      </c>
      <c r="J25" s="26">
        <f t="shared" si="8"/>
        <v>189.62688500000002</v>
      </c>
      <c r="K25" s="26">
        <f t="shared" si="3"/>
        <v>223.75972430000002</v>
      </c>
    </row>
    <row r="26" spans="1:11" ht="36" customHeight="1">
      <c r="A26" s="25" t="s">
        <v>230</v>
      </c>
      <c r="B26" s="23" t="s">
        <v>30</v>
      </c>
      <c r="C26" s="23" t="s">
        <v>22</v>
      </c>
      <c r="D26" s="22">
        <v>3.5</v>
      </c>
      <c r="E26" s="22">
        <v>1</v>
      </c>
      <c r="F26" s="22">
        <f t="shared" si="4"/>
        <v>236.59</v>
      </c>
      <c r="G26" s="26">
        <f>F26*E26</f>
        <v>236.59</v>
      </c>
      <c r="H26" s="26">
        <f>G26*30.3/100</f>
        <v>71.68677000000001</v>
      </c>
      <c r="I26" s="26">
        <f>G26*30/100</f>
        <v>70.977</v>
      </c>
      <c r="J26" s="26">
        <f t="shared" si="8"/>
        <v>379.25377000000003</v>
      </c>
      <c r="K26" s="26">
        <f t="shared" si="3"/>
        <v>447.51944860000003</v>
      </c>
    </row>
    <row r="27" spans="1:11" ht="30">
      <c r="A27" s="25" t="s">
        <v>231</v>
      </c>
      <c r="B27" s="23" t="s">
        <v>32</v>
      </c>
      <c r="C27" s="22" t="s">
        <v>19</v>
      </c>
      <c r="D27" s="22">
        <v>3.5</v>
      </c>
      <c r="E27" s="22">
        <v>2</v>
      </c>
      <c r="F27" s="22">
        <f>F25</f>
        <v>236.59</v>
      </c>
      <c r="G27" s="26">
        <f t="shared" si="6"/>
        <v>473.18</v>
      </c>
      <c r="H27" s="26">
        <f t="shared" si="5"/>
        <v>143.37354000000002</v>
      </c>
      <c r="I27" s="26">
        <f t="shared" si="7"/>
        <v>141.954</v>
      </c>
      <c r="J27" s="26">
        <f t="shared" si="8"/>
        <v>758.5075400000001</v>
      </c>
      <c r="K27" s="26">
        <f t="shared" si="3"/>
        <v>895.0388972000001</v>
      </c>
    </row>
    <row r="28" spans="1:11" ht="15" hidden="1">
      <c r="A28" s="25"/>
      <c r="B28" s="23"/>
      <c r="C28" s="22"/>
      <c r="D28" s="22"/>
      <c r="E28" s="22"/>
      <c r="F28" s="22"/>
      <c r="G28" s="26"/>
      <c r="H28" s="26"/>
      <c r="I28" s="26"/>
      <c r="J28" s="26"/>
      <c r="K28" s="26">
        <f t="shared" si="3"/>
        <v>0</v>
      </c>
    </row>
    <row r="29" spans="1:11" ht="30">
      <c r="A29" s="25" t="s">
        <v>233</v>
      </c>
      <c r="B29" s="23" t="s">
        <v>34</v>
      </c>
      <c r="C29" s="22" t="s">
        <v>19</v>
      </c>
      <c r="D29" s="22">
        <v>3.5</v>
      </c>
      <c r="E29" s="22">
        <v>2</v>
      </c>
      <c r="F29" s="22">
        <f aca="true" t="shared" si="9" ref="F29:F34">F27</f>
        <v>236.59</v>
      </c>
      <c r="G29" s="26">
        <f aca="true" t="shared" si="10" ref="G29:G34">F29*E29</f>
        <v>473.18</v>
      </c>
      <c r="H29" s="26">
        <f aca="true" t="shared" si="11" ref="H29:H34">G29*30.3/100</f>
        <v>143.37354000000002</v>
      </c>
      <c r="I29" s="26">
        <f aca="true" t="shared" si="12" ref="I29:I34">G29*30/100</f>
        <v>141.954</v>
      </c>
      <c r="J29" s="26">
        <f aca="true" t="shared" si="13" ref="J29:J34">G29+H29+I29</f>
        <v>758.5075400000001</v>
      </c>
      <c r="K29" s="26">
        <f t="shared" si="3"/>
        <v>895.0388972000001</v>
      </c>
    </row>
    <row r="30" spans="1:11" ht="30">
      <c r="A30" s="25" t="s">
        <v>232</v>
      </c>
      <c r="B30" s="23" t="s">
        <v>34</v>
      </c>
      <c r="C30" s="22" t="s">
        <v>19</v>
      </c>
      <c r="D30" s="22">
        <v>3.5</v>
      </c>
      <c r="E30" s="22">
        <v>2</v>
      </c>
      <c r="F30" s="22">
        <v>236.59</v>
      </c>
      <c r="G30" s="26">
        <f t="shared" si="10"/>
        <v>473.18</v>
      </c>
      <c r="H30" s="26">
        <f t="shared" si="11"/>
        <v>143.37354000000002</v>
      </c>
      <c r="I30" s="26">
        <f t="shared" si="12"/>
        <v>141.954</v>
      </c>
      <c r="J30" s="26">
        <f t="shared" si="13"/>
        <v>758.5075400000001</v>
      </c>
      <c r="K30" s="26">
        <f t="shared" si="3"/>
        <v>895.0388972000001</v>
      </c>
    </row>
    <row r="31" spans="1:11" ht="30">
      <c r="A31" s="25" t="s">
        <v>234</v>
      </c>
      <c r="B31" s="23" t="s">
        <v>34</v>
      </c>
      <c r="C31" s="22" t="s">
        <v>19</v>
      </c>
      <c r="D31" s="22">
        <v>3.5</v>
      </c>
      <c r="E31" s="22">
        <v>3</v>
      </c>
      <c r="F31" s="22">
        <f t="shared" si="9"/>
        <v>236.59</v>
      </c>
      <c r="G31" s="26">
        <f t="shared" si="10"/>
        <v>709.77</v>
      </c>
      <c r="H31" s="26">
        <f t="shared" si="11"/>
        <v>215.06031</v>
      </c>
      <c r="I31" s="26">
        <f t="shared" si="12"/>
        <v>212.93099999999998</v>
      </c>
      <c r="J31" s="26">
        <f t="shared" si="13"/>
        <v>1137.7613099999999</v>
      </c>
      <c r="K31" s="26">
        <f t="shared" si="3"/>
        <v>1342.5583457999999</v>
      </c>
    </row>
    <row r="32" spans="1:11" ht="30">
      <c r="A32" s="25" t="s">
        <v>278</v>
      </c>
      <c r="B32" s="23" t="s">
        <v>34</v>
      </c>
      <c r="C32" s="22" t="s">
        <v>19</v>
      </c>
      <c r="D32" s="22">
        <v>3.5</v>
      </c>
      <c r="E32" s="22">
        <v>3</v>
      </c>
      <c r="F32" s="22">
        <f t="shared" si="9"/>
        <v>236.59</v>
      </c>
      <c r="G32" s="26">
        <f t="shared" si="10"/>
        <v>709.77</v>
      </c>
      <c r="H32" s="26">
        <f t="shared" si="11"/>
        <v>215.06031</v>
      </c>
      <c r="I32" s="26">
        <f t="shared" si="12"/>
        <v>212.93099999999998</v>
      </c>
      <c r="J32" s="26">
        <f t="shared" si="13"/>
        <v>1137.7613099999999</v>
      </c>
      <c r="K32" s="26">
        <f t="shared" si="3"/>
        <v>1342.5583457999999</v>
      </c>
    </row>
    <row r="33" spans="1:11" ht="45">
      <c r="A33" s="25" t="s">
        <v>270</v>
      </c>
      <c r="B33" s="23" t="s">
        <v>34</v>
      </c>
      <c r="C33" s="22" t="s">
        <v>19</v>
      </c>
      <c r="D33" s="22">
        <v>3.5</v>
      </c>
      <c r="E33" s="22">
        <v>3</v>
      </c>
      <c r="F33" s="22">
        <f t="shared" si="9"/>
        <v>236.59</v>
      </c>
      <c r="G33" s="26">
        <f t="shared" si="10"/>
        <v>709.77</v>
      </c>
      <c r="H33" s="26">
        <f t="shared" si="11"/>
        <v>215.06031</v>
      </c>
      <c r="I33" s="26">
        <f t="shared" si="12"/>
        <v>212.93099999999998</v>
      </c>
      <c r="J33" s="26">
        <f t="shared" si="13"/>
        <v>1137.7613099999999</v>
      </c>
      <c r="K33" s="26">
        <f t="shared" si="3"/>
        <v>1342.5583457999999</v>
      </c>
    </row>
    <row r="34" spans="1:11" ht="60">
      <c r="A34" s="25" t="s">
        <v>235</v>
      </c>
      <c r="B34" s="23" t="s">
        <v>34</v>
      </c>
      <c r="C34" s="22" t="s">
        <v>19</v>
      </c>
      <c r="D34" s="22">
        <v>3.5</v>
      </c>
      <c r="E34" s="22">
        <v>5</v>
      </c>
      <c r="F34" s="22">
        <f t="shared" si="9"/>
        <v>236.59</v>
      </c>
      <c r="G34" s="26">
        <f t="shared" si="10"/>
        <v>1182.95</v>
      </c>
      <c r="H34" s="26">
        <f t="shared" si="11"/>
        <v>358.43385</v>
      </c>
      <c r="I34" s="26">
        <f t="shared" si="12"/>
        <v>354.885</v>
      </c>
      <c r="J34" s="26">
        <f t="shared" si="13"/>
        <v>1896.2688500000002</v>
      </c>
      <c r="K34" s="26">
        <f t="shared" si="3"/>
        <v>2237.597243</v>
      </c>
    </row>
    <row r="35" spans="1:11" ht="30">
      <c r="A35" s="25" t="s">
        <v>236</v>
      </c>
      <c r="B35" s="23" t="s">
        <v>277</v>
      </c>
      <c r="C35" s="22" t="s">
        <v>19</v>
      </c>
      <c r="D35" s="22">
        <v>3.5</v>
      </c>
      <c r="E35" s="22">
        <v>0.5</v>
      </c>
      <c r="F35" s="22">
        <f>F30</f>
        <v>236.59</v>
      </c>
      <c r="G35" s="26">
        <f t="shared" si="6"/>
        <v>118.295</v>
      </c>
      <c r="H35" s="26">
        <f t="shared" si="5"/>
        <v>35.843385000000005</v>
      </c>
      <c r="I35" s="26">
        <f t="shared" si="7"/>
        <v>35.4885</v>
      </c>
      <c r="J35" s="26">
        <f aca="true" t="shared" si="14" ref="J35:J51">G35+H35+I35</f>
        <v>189.62688500000002</v>
      </c>
      <c r="K35" s="26">
        <f t="shared" si="3"/>
        <v>223.75972430000002</v>
      </c>
    </row>
    <row r="36" spans="1:11" ht="30">
      <c r="A36" s="25" t="s">
        <v>279</v>
      </c>
      <c r="B36" s="23" t="s">
        <v>276</v>
      </c>
      <c r="C36" s="22" t="s">
        <v>19</v>
      </c>
      <c r="D36" s="22">
        <v>3.5</v>
      </c>
      <c r="E36" s="22">
        <v>1</v>
      </c>
      <c r="F36" s="22">
        <f t="shared" si="4"/>
        <v>236.59</v>
      </c>
      <c r="G36" s="26">
        <f t="shared" si="6"/>
        <v>236.59</v>
      </c>
      <c r="H36" s="26">
        <f t="shared" si="5"/>
        <v>71.68677000000001</v>
      </c>
      <c r="I36" s="26">
        <f t="shared" si="7"/>
        <v>70.977</v>
      </c>
      <c r="J36" s="26">
        <f t="shared" si="14"/>
        <v>379.25377000000003</v>
      </c>
      <c r="K36" s="26">
        <f t="shared" si="3"/>
        <v>447.51944860000003</v>
      </c>
    </row>
    <row r="37" spans="1:11" ht="30">
      <c r="A37" s="25" t="s">
        <v>237</v>
      </c>
      <c r="B37" s="23" t="s">
        <v>276</v>
      </c>
      <c r="C37" s="22" t="s">
        <v>19</v>
      </c>
      <c r="D37" s="22">
        <v>3.5</v>
      </c>
      <c r="E37" s="22">
        <v>1.5</v>
      </c>
      <c r="F37" s="22">
        <f t="shared" si="4"/>
        <v>236.59</v>
      </c>
      <c r="G37" s="26">
        <f>F37*E37</f>
        <v>354.885</v>
      </c>
      <c r="H37" s="26">
        <f>G37*30.3/100</f>
        <v>107.530155</v>
      </c>
      <c r="I37" s="26">
        <f>G37*30/100</f>
        <v>106.46549999999999</v>
      </c>
      <c r="J37" s="26">
        <f t="shared" si="14"/>
        <v>568.8806549999999</v>
      </c>
      <c r="K37" s="26">
        <f t="shared" si="3"/>
        <v>671.2791728999999</v>
      </c>
    </row>
    <row r="38" spans="1:11" ht="45">
      <c r="A38" s="25" t="s">
        <v>39</v>
      </c>
      <c r="B38" s="23" t="s">
        <v>40</v>
      </c>
      <c r="C38" s="22" t="s">
        <v>19</v>
      </c>
      <c r="D38" s="22">
        <v>3.5</v>
      </c>
      <c r="E38" s="22">
        <v>2.56</v>
      </c>
      <c r="F38" s="22">
        <f>F36</f>
        <v>236.59</v>
      </c>
      <c r="G38" s="26">
        <f t="shared" si="6"/>
        <v>605.6704</v>
      </c>
      <c r="H38" s="26">
        <f t="shared" si="5"/>
        <v>183.5181312</v>
      </c>
      <c r="I38" s="26">
        <f t="shared" si="7"/>
        <v>181.70112</v>
      </c>
      <c r="J38" s="26">
        <f t="shared" si="14"/>
        <v>970.8896511999999</v>
      </c>
      <c r="K38" s="26">
        <f t="shared" si="3"/>
        <v>1145.6497884159999</v>
      </c>
    </row>
    <row r="39" spans="1:11" ht="45">
      <c r="A39" s="25" t="s">
        <v>41</v>
      </c>
      <c r="B39" s="23" t="s">
        <v>42</v>
      </c>
      <c r="C39" s="22" t="s">
        <v>19</v>
      </c>
      <c r="D39" s="22">
        <v>3.5</v>
      </c>
      <c r="E39" s="22">
        <v>0.33</v>
      </c>
      <c r="F39" s="22">
        <f>F38</f>
        <v>236.59</v>
      </c>
      <c r="G39" s="26">
        <f t="shared" si="6"/>
        <v>78.0747</v>
      </c>
      <c r="H39" s="26">
        <f t="shared" si="5"/>
        <v>23.6566341</v>
      </c>
      <c r="I39" s="26">
        <f t="shared" si="7"/>
        <v>23.42241</v>
      </c>
      <c r="J39" s="26">
        <f t="shared" si="14"/>
        <v>125.15374410000001</v>
      </c>
      <c r="K39" s="26">
        <f t="shared" si="3"/>
        <v>147.681418038</v>
      </c>
    </row>
    <row r="40" spans="1:11" ht="30">
      <c r="A40" s="25" t="s">
        <v>254</v>
      </c>
      <c r="B40" s="23" t="s">
        <v>42</v>
      </c>
      <c r="C40" s="22" t="s">
        <v>19</v>
      </c>
      <c r="D40" s="22">
        <v>3.5</v>
      </c>
      <c r="E40" s="22">
        <v>2.7</v>
      </c>
      <c r="F40" s="22">
        <f>F39</f>
        <v>236.59</v>
      </c>
      <c r="G40" s="26">
        <f>F40*E40</f>
        <v>638.793</v>
      </c>
      <c r="H40" s="26">
        <f>G40*30.3/100</f>
        <v>193.55427900000004</v>
      </c>
      <c r="I40" s="26">
        <f>G40*30/100</f>
        <v>191.6379</v>
      </c>
      <c r="J40" s="26">
        <f t="shared" si="14"/>
        <v>1023.985179</v>
      </c>
      <c r="K40" s="26">
        <f t="shared" si="3"/>
        <v>1208.30251122</v>
      </c>
    </row>
    <row r="41" spans="1:11" ht="30">
      <c r="A41" s="25" t="s">
        <v>255</v>
      </c>
      <c r="B41" s="23" t="s">
        <v>42</v>
      </c>
      <c r="C41" s="22" t="s">
        <v>19</v>
      </c>
      <c r="D41" s="22">
        <v>3.5</v>
      </c>
      <c r="E41" s="22">
        <v>1.86</v>
      </c>
      <c r="F41" s="22">
        <f>F40</f>
        <v>236.59</v>
      </c>
      <c r="G41" s="26">
        <f>F41*E41</f>
        <v>440.05740000000003</v>
      </c>
      <c r="H41" s="26">
        <f>G41*30.3/100</f>
        <v>133.3373922</v>
      </c>
      <c r="I41" s="26">
        <f>G41*30/100</f>
        <v>132.01722</v>
      </c>
      <c r="J41" s="26">
        <f t="shared" si="14"/>
        <v>705.4120121999999</v>
      </c>
      <c r="K41" s="26">
        <f t="shared" si="3"/>
        <v>832.3861743959999</v>
      </c>
    </row>
    <row r="42" spans="1:11" ht="30">
      <c r="A42" s="25" t="s">
        <v>256</v>
      </c>
      <c r="B42" s="23" t="s">
        <v>42</v>
      </c>
      <c r="C42" s="22" t="s">
        <v>19</v>
      </c>
      <c r="D42" s="22">
        <v>3.5</v>
      </c>
      <c r="E42" s="22">
        <v>0.5</v>
      </c>
      <c r="F42" s="22">
        <f>F41</f>
        <v>236.59</v>
      </c>
      <c r="G42" s="26">
        <f>F42*E42</f>
        <v>118.295</v>
      </c>
      <c r="H42" s="26">
        <f>G42*30.3/100</f>
        <v>35.843385000000005</v>
      </c>
      <c r="I42" s="26">
        <f>G42*30/100</f>
        <v>35.4885</v>
      </c>
      <c r="J42" s="26">
        <f t="shared" si="14"/>
        <v>189.62688500000002</v>
      </c>
      <c r="K42" s="26">
        <f t="shared" si="3"/>
        <v>223.75972430000002</v>
      </c>
    </row>
    <row r="43" spans="1:11" ht="30">
      <c r="A43" s="25" t="s">
        <v>43</v>
      </c>
      <c r="B43" s="23" t="s">
        <v>44</v>
      </c>
      <c r="C43" s="22" t="s">
        <v>19</v>
      </c>
      <c r="D43" s="22">
        <v>3</v>
      </c>
      <c r="E43" s="22">
        <v>0.44</v>
      </c>
      <c r="F43" s="22">
        <f>F39</f>
        <v>236.59</v>
      </c>
      <c r="G43" s="26">
        <f t="shared" si="6"/>
        <v>104.0996</v>
      </c>
      <c r="H43" s="26">
        <f t="shared" si="5"/>
        <v>31.542178800000002</v>
      </c>
      <c r="I43" s="26">
        <f t="shared" si="7"/>
        <v>31.229879999999998</v>
      </c>
      <c r="J43" s="26">
        <f t="shared" si="14"/>
        <v>166.8716588</v>
      </c>
      <c r="K43" s="26">
        <f t="shared" si="3"/>
        <v>196.908557384</v>
      </c>
    </row>
    <row r="44" spans="1:11" ht="75">
      <c r="A44" s="25" t="s">
        <v>238</v>
      </c>
      <c r="B44" s="23" t="s">
        <v>46</v>
      </c>
      <c r="C44" s="23" t="s">
        <v>47</v>
      </c>
      <c r="D44" s="22">
        <v>2</v>
      </c>
      <c r="E44" s="22">
        <v>2.19</v>
      </c>
      <c r="F44" s="22">
        <f t="shared" si="4"/>
        <v>236.59</v>
      </c>
      <c r="G44" s="26">
        <f t="shared" si="6"/>
        <v>518.1321</v>
      </c>
      <c r="H44" s="26">
        <f t="shared" si="5"/>
        <v>156.99402630000003</v>
      </c>
      <c r="I44" s="26">
        <f t="shared" si="7"/>
        <v>155.43963000000002</v>
      </c>
      <c r="J44" s="26">
        <f t="shared" si="14"/>
        <v>830.5657563000002</v>
      </c>
      <c r="K44" s="26">
        <f t="shared" si="3"/>
        <v>980.0675924340002</v>
      </c>
    </row>
    <row r="45" spans="1:11" ht="45">
      <c r="A45" s="25" t="s">
        <v>239</v>
      </c>
      <c r="B45" s="23" t="s">
        <v>49</v>
      </c>
      <c r="C45" s="23" t="s">
        <v>47</v>
      </c>
      <c r="D45" s="22">
        <v>2</v>
      </c>
      <c r="E45" s="22">
        <v>1.86</v>
      </c>
      <c r="F45" s="22">
        <f t="shared" si="4"/>
        <v>236.59</v>
      </c>
      <c r="G45" s="26">
        <f t="shared" si="6"/>
        <v>440.05740000000003</v>
      </c>
      <c r="H45" s="26">
        <f t="shared" si="5"/>
        <v>133.3373922</v>
      </c>
      <c r="I45" s="26">
        <f t="shared" si="7"/>
        <v>132.01722</v>
      </c>
      <c r="J45" s="26">
        <f t="shared" si="14"/>
        <v>705.4120121999999</v>
      </c>
      <c r="K45" s="26">
        <f t="shared" si="3"/>
        <v>832.3861743959999</v>
      </c>
    </row>
    <row r="46" spans="1:11" ht="45">
      <c r="A46" s="25" t="s">
        <v>281</v>
      </c>
      <c r="B46" s="23" t="s">
        <v>51</v>
      </c>
      <c r="C46" s="23" t="s">
        <v>280</v>
      </c>
      <c r="D46" s="22">
        <v>2.8</v>
      </c>
      <c r="E46" s="22">
        <v>2</v>
      </c>
      <c r="F46" s="22">
        <f t="shared" si="4"/>
        <v>236.59</v>
      </c>
      <c r="G46" s="26">
        <f t="shared" si="6"/>
        <v>473.18</v>
      </c>
      <c r="H46" s="26">
        <f t="shared" si="5"/>
        <v>143.37354000000002</v>
      </c>
      <c r="I46" s="26">
        <f t="shared" si="7"/>
        <v>141.954</v>
      </c>
      <c r="J46" s="26">
        <f t="shared" si="14"/>
        <v>758.5075400000001</v>
      </c>
      <c r="K46" s="26">
        <f t="shared" si="3"/>
        <v>895.0388972000001</v>
      </c>
    </row>
    <row r="47" spans="1:11" ht="75">
      <c r="A47" s="25" t="s">
        <v>240</v>
      </c>
      <c r="B47" s="23" t="s">
        <v>51</v>
      </c>
      <c r="C47" s="23" t="s">
        <v>282</v>
      </c>
      <c r="D47" s="22">
        <v>2.8</v>
      </c>
      <c r="E47" s="22">
        <v>0.5</v>
      </c>
      <c r="F47" s="22">
        <f t="shared" si="4"/>
        <v>236.59</v>
      </c>
      <c r="G47" s="26">
        <f>F47*E47</f>
        <v>118.295</v>
      </c>
      <c r="H47" s="26">
        <f>G47*30.3/100</f>
        <v>35.843385000000005</v>
      </c>
      <c r="I47" s="26">
        <f>G47*30/100</f>
        <v>35.4885</v>
      </c>
      <c r="J47" s="26">
        <f t="shared" si="14"/>
        <v>189.62688500000002</v>
      </c>
      <c r="K47" s="26">
        <f t="shared" si="3"/>
        <v>223.75972430000002</v>
      </c>
    </row>
    <row r="48" spans="1:11" ht="30">
      <c r="A48" s="25" t="s">
        <v>283</v>
      </c>
      <c r="B48" s="23" t="s">
        <v>54</v>
      </c>
      <c r="C48" s="22" t="s">
        <v>112</v>
      </c>
      <c r="D48" s="22">
        <v>3.2</v>
      </c>
      <c r="E48" s="22">
        <v>2.16</v>
      </c>
      <c r="F48" s="22">
        <f>F46</f>
        <v>236.59</v>
      </c>
      <c r="G48" s="26">
        <f t="shared" si="6"/>
        <v>511.03440000000006</v>
      </c>
      <c r="H48" s="26">
        <f t="shared" si="5"/>
        <v>154.84342320000002</v>
      </c>
      <c r="I48" s="26">
        <f t="shared" si="7"/>
        <v>153.31032000000002</v>
      </c>
      <c r="J48" s="26">
        <f t="shared" si="14"/>
        <v>819.1881432000001</v>
      </c>
      <c r="K48" s="26">
        <f t="shared" si="3"/>
        <v>966.642008976</v>
      </c>
    </row>
    <row r="49" spans="1:11" ht="30" hidden="1">
      <c r="A49" s="25" t="s">
        <v>242</v>
      </c>
      <c r="B49" s="23" t="s">
        <v>56</v>
      </c>
      <c r="C49" s="22" t="s">
        <v>52</v>
      </c>
      <c r="D49" s="22">
        <v>3.2</v>
      </c>
      <c r="E49" s="22">
        <v>2.77</v>
      </c>
      <c r="F49" s="22">
        <f t="shared" si="4"/>
        <v>236.59</v>
      </c>
      <c r="G49" s="26">
        <f t="shared" si="6"/>
        <v>655.3543</v>
      </c>
      <c r="H49" s="26">
        <f t="shared" si="5"/>
        <v>198.5723529</v>
      </c>
      <c r="I49" s="26">
        <f t="shared" si="7"/>
        <v>196.60629</v>
      </c>
      <c r="J49" s="26">
        <f t="shared" si="14"/>
        <v>1050.5329428999999</v>
      </c>
      <c r="K49" s="26">
        <f t="shared" si="3"/>
        <v>1239.6288726219998</v>
      </c>
    </row>
    <row r="50" spans="1:11" ht="75">
      <c r="A50" s="25" t="s">
        <v>284</v>
      </c>
      <c r="B50" s="23" t="s">
        <v>54</v>
      </c>
      <c r="C50" s="23" t="s">
        <v>282</v>
      </c>
      <c r="D50" s="22">
        <v>3.2</v>
      </c>
      <c r="E50" s="22">
        <v>0.5</v>
      </c>
      <c r="F50" s="22">
        <f>F48</f>
        <v>236.59</v>
      </c>
      <c r="G50" s="26">
        <f>F50*E50</f>
        <v>118.295</v>
      </c>
      <c r="H50" s="26">
        <f>G50*30.3/100</f>
        <v>35.843385000000005</v>
      </c>
      <c r="I50" s="26">
        <f>G50*30/100</f>
        <v>35.4885</v>
      </c>
      <c r="J50" s="26">
        <f t="shared" si="14"/>
        <v>189.62688500000002</v>
      </c>
      <c r="K50" s="26">
        <f t="shared" si="3"/>
        <v>223.75972430000002</v>
      </c>
    </row>
    <row r="51" spans="1:11" ht="30">
      <c r="A51" s="25" t="s">
        <v>243</v>
      </c>
      <c r="B51" s="23" t="s">
        <v>58</v>
      </c>
      <c r="C51" s="22" t="s">
        <v>112</v>
      </c>
      <c r="D51" s="22">
        <v>3.2</v>
      </c>
      <c r="E51" s="22">
        <v>1.96</v>
      </c>
      <c r="F51" s="22">
        <f>F49</f>
        <v>236.59</v>
      </c>
      <c r="G51" s="26">
        <f t="shared" si="6"/>
        <v>463.7164</v>
      </c>
      <c r="H51" s="26">
        <f t="shared" si="5"/>
        <v>140.5060692</v>
      </c>
      <c r="I51" s="26">
        <f t="shared" si="7"/>
        <v>139.11492</v>
      </c>
      <c r="J51" s="26">
        <f t="shared" si="14"/>
        <v>743.3373892</v>
      </c>
      <c r="K51" s="26">
        <f t="shared" si="3"/>
        <v>877.1381192559999</v>
      </c>
    </row>
    <row r="52" spans="1:11" ht="15" hidden="1">
      <c r="A52" s="25"/>
      <c r="B52" s="23"/>
      <c r="C52" s="22"/>
      <c r="D52" s="22"/>
      <c r="E52" s="22"/>
      <c r="F52" s="22">
        <f t="shared" si="4"/>
        <v>236.59</v>
      </c>
      <c r="G52" s="26"/>
      <c r="H52" s="26"/>
      <c r="I52" s="26"/>
      <c r="J52" s="26"/>
      <c r="K52" s="26">
        <f t="shared" si="3"/>
        <v>0</v>
      </c>
    </row>
    <row r="53" spans="1:11" ht="60" hidden="1">
      <c r="A53" s="27" t="s">
        <v>0</v>
      </c>
      <c r="B53" s="22" t="s">
        <v>1</v>
      </c>
      <c r="C53" s="22" t="s">
        <v>2</v>
      </c>
      <c r="D53" s="23" t="s">
        <v>3</v>
      </c>
      <c r="E53" s="23" t="s">
        <v>4</v>
      </c>
      <c r="F53" s="22">
        <f t="shared" si="4"/>
        <v>236.59</v>
      </c>
      <c r="G53" s="23" t="s">
        <v>6</v>
      </c>
      <c r="H53" s="23" t="s">
        <v>209</v>
      </c>
      <c r="I53" s="23" t="s">
        <v>7</v>
      </c>
      <c r="J53" s="23" t="s">
        <v>8</v>
      </c>
      <c r="K53" s="26" t="e">
        <f t="shared" si="3"/>
        <v>#VALUE!</v>
      </c>
    </row>
    <row r="54" spans="1:11" ht="15" hidden="1">
      <c r="A54" s="27">
        <v>1</v>
      </c>
      <c r="B54" s="22">
        <v>2</v>
      </c>
      <c r="C54" s="22">
        <v>3</v>
      </c>
      <c r="D54" s="22">
        <v>4</v>
      </c>
      <c r="E54" s="22">
        <v>5</v>
      </c>
      <c r="F54" s="22">
        <f t="shared" si="4"/>
        <v>236.59</v>
      </c>
      <c r="G54" s="22">
        <v>7</v>
      </c>
      <c r="H54" s="22">
        <v>8</v>
      </c>
      <c r="I54" s="22">
        <v>9</v>
      </c>
      <c r="J54" s="22">
        <v>10</v>
      </c>
      <c r="K54" s="26">
        <f t="shared" si="3"/>
        <v>11.799999999999999</v>
      </c>
    </row>
    <row r="55" spans="1:11" ht="30" hidden="1">
      <c r="A55" s="25" t="s">
        <v>59</v>
      </c>
      <c r="B55" s="23" t="s">
        <v>60</v>
      </c>
      <c r="C55" s="22" t="s">
        <v>52</v>
      </c>
      <c r="D55" s="22">
        <v>3.2</v>
      </c>
      <c r="E55" s="22">
        <v>2.42</v>
      </c>
      <c r="F55" s="22">
        <f t="shared" si="4"/>
        <v>236.59</v>
      </c>
      <c r="G55" s="26">
        <f t="shared" si="6"/>
        <v>572.5477999999999</v>
      </c>
      <c r="H55" s="26">
        <f aca="true" t="shared" si="15" ref="H55:H65">G55*30.3/100</f>
        <v>173.4819834</v>
      </c>
      <c r="I55" s="26">
        <f t="shared" si="7"/>
        <v>171.76433999999998</v>
      </c>
      <c r="J55" s="26">
        <f>G55+H55+I55</f>
        <v>917.7941233999999</v>
      </c>
      <c r="K55" s="26">
        <f t="shared" si="3"/>
        <v>1082.9970656119997</v>
      </c>
    </row>
    <row r="56" spans="1:11" ht="45" hidden="1">
      <c r="A56" s="25" t="s">
        <v>61</v>
      </c>
      <c r="B56" s="23" t="s">
        <v>62</v>
      </c>
      <c r="C56" s="22" t="s">
        <v>13</v>
      </c>
      <c r="D56" s="22">
        <v>3.5</v>
      </c>
      <c r="E56" s="22">
        <v>1.33</v>
      </c>
      <c r="F56" s="22">
        <f t="shared" si="4"/>
        <v>236.59</v>
      </c>
      <c r="G56" s="26">
        <f t="shared" si="6"/>
        <v>314.66470000000004</v>
      </c>
      <c r="H56" s="26">
        <f t="shared" si="15"/>
        <v>95.3434041</v>
      </c>
      <c r="I56" s="26">
        <f t="shared" si="7"/>
        <v>94.39941</v>
      </c>
      <c r="J56" s="26">
        <f>G56+H56+I56</f>
        <v>504.4075141</v>
      </c>
      <c r="K56" s="26">
        <f t="shared" si="3"/>
        <v>595.200866638</v>
      </c>
    </row>
    <row r="57" spans="1:11" ht="45">
      <c r="A57" s="25" t="s">
        <v>266</v>
      </c>
      <c r="B57" s="23" t="s">
        <v>58</v>
      </c>
      <c r="C57" s="22" t="s">
        <v>285</v>
      </c>
      <c r="D57" s="22">
        <v>3.2</v>
      </c>
      <c r="E57" s="22">
        <v>0.76</v>
      </c>
      <c r="F57" s="22">
        <f>F55</f>
        <v>236.59</v>
      </c>
      <c r="G57" s="26">
        <f>F57*E57</f>
        <v>179.8084</v>
      </c>
      <c r="H57" s="26">
        <f t="shared" si="15"/>
        <v>54.4819452</v>
      </c>
      <c r="I57" s="26">
        <f>G57*30/100</f>
        <v>53.94252</v>
      </c>
      <c r="J57" s="26">
        <f>G57+H57+I57</f>
        <v>288.2328652</v>
      </c>
      <c r="K57" s="26">
        <f t="shared" si="3"/>
        <v>340.114780936</v>
      </c>
    </row>
    <row r="58" spans="1:11" ht="45">
      <c r="A58" s="25" t="s">
        <v>286</v>
      </c>
      <c r="B58" s="23" t="s">
        <v>58</v>
      </c>
      <c r="C58" s="23" t="s">
        <v>47</v>
      </c>
      <c r="D58" s="22">
        <v>3.2</v>
      </c>
      <c r="E58" s="22">
        <v>0.5</v>
      </c>
      <c r="F58" s="22">
        <f>F56</f>
        <v>236.59</v>
      </c>
      <c r="G58" s="26">
        <f>F58*E58</f>
        <v>118.295</v>
      </c>
      <c r="H58" s="26">
        <f>G58*30.3/100</f>
        <v>35.843385000000005</v>
      </c>
      <c r="I58" s="26">
        <f>G58*30/100</f>
        <v>35.4885</v>
      </c>
      <c r="J58" s="26">
        <f>G58+H58+I58</f>
        <v>189.62688500000002</v>
      </c>
      <c r="K58" s="26">
        <f t="shared" si="3"/>
        <v>223.75972430000002</v>
      </c>
    </row>
    <row r="59" spans="1:11" ht="45">
      <c r="A59" s="25" t="s">
        <v>241</v>
      </c>
      <c r="B59" s="23" t="s">
        <v>64</v>
      </c>
      <c r="C59" s="22" t="s">
        <v>19</v>
      </c>
      <c r="D59" s="22">
        <v>3.5</v>
      </c>
      <c r="E59" s="22">
        <v>0.81</v>
      </c>
      <c r="F59" s="22">
        <f>F56</f>
        <v>236.59</v>
      </c>
      <c r="G59" s="26">
        <f t="shared" si="6"/>
        <v>191.6379</v>
      </c>
      <c r="H59" s="26">
        <f t="shared" si="15"/>
        <v>58.06628370000001</v>
      </c>
      <c r="I59" s="26">
        <f t="shared" si="7"/>
        <v>57.491369999999996</v>
      </c>
      <c r="J59" s="26">
        <f>G59+H59+I59</f>
        <v>307.1955537</v>
      </c>
      <c r="K59" s="26">
        <f t="shared" si="3"/>
        <v>362.490753366</v>
      </c>
    </row>
    <row r="60" spans="1:11" ht="15" hidden="1">
      <c r="A60" s="25"/>
      <c r="B60" s="23"/>
      <c r="C60" s="22"/>
      <c r="D60" s="22"/>
      <c r="E60" s="22"/>
      <c r="F60" s="22">
        <f t="shared" si="4"/>
        <v>236.59</v>
      </c>
      <c r="G60" s="26"/>
      <c r="H60" s="26">
        <f t="shared" si="15"/>
        <v>0</v>
      </c>
      <c r="I60" s="26"/>
      <c r="J60" s="26"/>
      <c r="K60" s="26">
        <f t="shared" si="3"/>
        <v>0</v>
      </c>
    </row>
    <row r="61" spans="1:11" ht="30">
      <c r="A61" s="25" t="s">
        <v>65</v>
      </c>
      <c r="B61" s="23" t="s">
        <v>66</v>
      </c>
      <c r="C61" s="22" t="s">
        <v>19</v>
      </c>
      <c r="D61" s="22">
        <v>3.5</v>
      </c>
      <c r="E61" s="22">
        <v>0.76</v>
      </c>
      <c r="F61" s="22">
        <f t="shared" si="4"/>
        <v>236.59</v>
      </c>
      <c r="G61" s="26">
        <f t="shared" si="6"/>
        <v>179.8084</v>
      </c>
      <c r="H61" s="26">
        <f t="shared" si="15"/>
        <v>54.4819452</v>
      </c>
      <c r="I61" s="26">
        <f t="shared" si="7"/>
        <v>53.94252</v>
      </c>
      <c r="J61" s="26">
        <f aca="true" t="shared" si="16" ref="J61:J87">G61+H61+I61</f>
        <v>288.2328652</v>
      </c>
      <c r="K61" s="26">
        <f t="shared" si="3"/>
        <v>340.114780936</v>
      </c>
    </row>
    <row r="62" spans="1:11" ht="45">
      <c r="A62" s="25" t="s">
        <v>244</v>
      </c>
      <c r="B62" s="23" t="s">
        <v>68</v>
      </c>
      <c r="C62" s="22" t="s">
        <v>19</v>
      </c>
      <c r="D62" s="22">
        <v>3.8</v>
      </c>
      <c r="E62" s="22">
        <v>8.736</v>
      </c>
      <c r="F62" s="22">
        <f t="shared" si="4"/>
        <v>236.59</v>
      </c>
      <c r="G62" s="26">
        <f t="shared" si="6"/>
        <v>2066.85024</v>
      </c>
      <c r="H62" s="26">
        <f t="shared" si="15"/>
        <v>626.2556227200001</v>
      </c>
      <c r="I62" s="26">
        <f t="shared" si="7"/>
        <v>620.0550720000001</v>
      </c>
      <c r="J62" s="26">
        <f t="shared" si="16"/>
        <v>3313.1609347200006</v>
      </c>
      <c r="K62" s="26">
        <f t="shared" si="3"/>
        <v>3909.5299029696002</v>
      </c>
    </row>
    <row r="63" spans="1:11" ht="30">
      <c r="A63" s="25" t="s">
        <v>245</v>
      </c>
      <c r="B63" s="23" t="s">
        <v>68</v>
      </c>
      <c r="C63" s="22" t="s">
        <v>19</v>
      </c>
      <c r="D63" s="22">
        <v>3.8</v>
      </c>
      <c r="E63" s="22">
        <v>2</v>
      </c>
      <c r="F63" s="22">
        <f t="shared" si="4"/>
        <v>236.59</v>
      </c>
      <c r="G63" s="26">
        <f>F63*E63</f>
        <v>473.18</v>
      </c>
      <c r="H63" s="26">
        <f>G63*30.3/100</f>
        <v>143.37354000000002</v>
      </c>
      <c r="I63" s="26">
        <f>G63*30/100</f>
        <v>141.954</v>
      </c>
      <c r="J63" s="26">
        <f t="shared" si="16"/>
        <v>758.5075400000001</v>
      </c>
      <c r="K63" s="26">
        <f t="shared" si="3"/>
        <v>895.0388972000001</v>
      </c>
    </row>
    <row r="64" spans="1:11" ht="68.25" customHeight="1">
      <c r="A64" s="25" t="s">
        <v>246</v>
      </c>
      <c r="B64" s="23" t="s">
        <v>68</v>
      </c>
      <c r="C64" s="22" t="s">
        <v>19</v>
      </c>
      <c r="D64" s="22">
        <v>3.8</v>
      </c>
      <c r="E64" s="22">
        <v>4</v>
      </c>
      <c r="F64" s="22">
        <f t="shared" si="4"/>
        <v>236.59</v>
      </c>
      <c r="G64" s="26">
        <f>F64*E64</f>
        <v>946.36</v>
      </c>
      <c r="H64" s="26">
        <f>G64*30.3/100</f>
        <v>286.74708000000004</v>
      </c>
      <c r="I64" s="26">
        <f>G64*30/100</f>
        <v>283.908</v>
      </c>
      <c r="J64" s="26">
        <f t="shared" si="16"/>
        <v>1517.0150800000001</v>
      </c>
      <c r="K64" s="26">
        <f t="shared" si="3"/>
        <v>1790.0777944000001</v>
      </c>
    </row>
    <row r="65" spans="1:11" ht="45">
      <c r="A65" s="25" t="s">
        <v>69</v>
      </c>
      <c r="B65" s="23" t="s">
        <v>70</v>
      </c>
      <c r="C65" s="22" t="s">
        <v>19</v>
      </c>
      <c r="D65" s="22">
        <v>3</v>
      </c>
      <c r="E65" s="22">
        <v>0.418</v>
      </c>
      <c r="F65" s="22">
        <f>F62</f>
        <v>236.59</v>
      </c>
      <c r="G65" s="26">
        <f aca="true" t="shared" si="17" ref="G65:G78">F65*E65</f>
        <v>98.89462</v>
      </c>
      <c r="H65" s="26">
        <f t="shared" si="15"/>
        <v>29.965069860000003</v>
      </c>
      <c r="I65" s="26">
        <f aca="true" t="shared" si="18" ref="I65:I71">G65*30/100</f>
        <v>29.668386</v>
      </c>
      <c r="J65" s="26">
        <f t="shared" si="16"/>
        <v>158.52807586</v>
      </c>
      <c r="K65" s="26">
        <f t="shared" si="3"/>
        <v>187.06312951479998</v>
      </c>
    </row>
    <row r="66" spans="1:11" ht="45">
      <c r="A66" s="28" t="s">
        <v>178</v>
      </c>
      <c r="B66" s="29" t="s">
        <v>179</v>
      </c>
      <c r="C66" s="30" t="s">
        <v>112</v>
      </c>
      <c r="D66" s="30">
        <v>3</v>
      </c>
      <c r="E66" s="30">
        <v>0.72</v>
      </c>
      <c r="F66" s="30">
        <f t="shared" si="4"/>
        <v>236.59</v>
      </c>
      <c r="G66" s="31">
        <f t="shared" si="17"/>
        <v>170.3448</v>
      </c>
      <c r="H66" s="31">
        <f>G66*30.3/100</f>
        <v>51.6144744</v>
      </c>
      <c r="I66" s="31">
        <f t="shared" si="18"/>
        <v>51.10344</v>
      </c>
      <c r="J66" s="31">
        <f t="shared" si="16"/>
        <v>273.0627144</v>
      </c>
      <c r="K66" s="26">
        <f t="shared" si="3"/>
        <v>322.21400299199996</v>
      </c>
    </row>
    <row r="67" spans="1:11" ht="60" hidden="1">
      <c r="A67" s="25" t="s">
        <v>180</v>
      </c>
      <c r="B67" s="23" t="s">
        <v>15</v>
      </c>
      <c r="C67" s="22" t="s">
        <v>181</v>
      </c>
      <c r="D67" s="22">
        <v>3.5</v>
      </c>
      <c r="E67" s="22">
        <v>0.93</v>
      </c>
      <c r="F67" s="22">
        <f t="shared" si="4"/>
        <v>236.59</v>
      </c>
      <c r="G67" s="26">
        <f t="shared" si="17"/>
        <v>220.02870000000001</v>
      </c>
      <c r="H67" s="26">
        <f aca="true" t="shared" si="19" ref="H67:H89">G67*30.3/100</f>
        <v>66.6686961</v>
      </c>
      <c r="I67" s="26">
        <f t="shared" si="18"/>
        <v>66.00861</v>
      </c>
      <c r="J67" s="26">
        <f t="shared" si="16"/>
        <v>352.70600609999997</v>
      </c>
      <c r="K67" s="26">
        <f t="shared" si="3"/>
        <v>416.19308719799994</v>
      </c>
    </row>
    <row r="68" spans="1:11" ht="60" hidden="1">
      <c r="A68" s="25" t="s">
        <v>182</v>
      </c>
      <c r="B68" s="23" t="s">
        <v>15</v>
      </c>
      <c r="C68" s="22" t="s">
        <v>181</v>
      </c>
      <c r="D68" s="22">
        <v>3.5</v>
      </c>
      <c r="E68" s="22">
        <v>1.26</v>
      </c>
      <c r="F68" s="22">
        <f t="shared" si="4"/>
        <v>236.59</v>
      </c>
      <c r="G68" s="26">
        <f t="shared" si="17"/>
        <v>298.1034</v>
      </c>
      <c r="H68" s="26">
        <f t="shared" si="19"/>
        <v>90.32533020000001</v>
      </c>
      <c r="I68" s="26">
        <f t="shared" si="18"/>
        <v>89.43102</v>
      </c>
      <c r="J68" s="26">
        <f t="shared" si="16"/>
        <v>477.8597502</v>
      </c>
      <c r="K68" s="26">
        <f t="shared" si="3"/>
        <v>563.874505236</v>
      </c>
    </row>
    <row r="69" spans="1:11" ht="30">
      <c r="A69" s="25" t="s">
        <v>183</v>
      </c>
      <c r="B69" s="23" t="s">
        <v>18</v>
      </c>
      <c r="C69" s="23" t="s">
        <v>184</v>
      </c>
      <c r="D69" s="22">
        <v>3</v>
      </c>
      <c r="E69" s="22">
        <v>1.5</v>
      </c>
      <c r="F69" s="22">
        <f t="shared" si="4"/>
        <v>236.59</v>
      </c>
      <c r="G69" s="26">
        <f t="shared" si="17"/>
        <v>354.885</v>
      </c>
      <c r="H69" s="26">
        <f t="shared" si="19"/>
        <v>107.530155</v>
      </c>
      <c r="I69" s="26">
        <f t="shared" si="18"/>
        <v>106.46549999999999</v>
      </c>
      <c r="J69" s="26">
        <f t="shared" si="16"/>
        <v>568.8806549999999</v>
      </c>
      <c r="K69" s="26">
        <f t="shared" si="3"/>
        <v>671.2791728999999</v>
      </c>
    </row>
    <row r="70" spans="1:11" ht="45">
      <c r="A70" s="25" t="s">
        <v>261</v>
      </c>
      <c r="B70" s="23" t="s">
        <v>18</v>
      </c>
      <c r="C70" s="23" t="s">
        <v>85</v>
      </c>
      <c r="D70" s="22">
        <v>3</v>
      </c>
      <c r="E70" s="22">
        <v>1</v>
      </c>
      <c r="F70" s="22">
        <f t="shared" si="4"/>
        <v>236.59</v>
      </c>
      <c r="G70" s="26">
        <f>F70*E70</f>
        <v>236.59</v>
      </c>
      <c r="H70" s="26">
        <f>G70*30.3/100</f>
        <v>71.68677000000001</v>
      </c>
      <c r="I70" s="26">
        <f>G70*30/100</f>
        <v>70.977</v>
      </c>
      <c r="J70" s="26">
        <f t="shared" si="16"/>
        <v>379.25377000000003</v>
      </c>
      <c r="K70" s="26">
        <f t="shared" si="3"/>
        <v>447.51944860000003</v>
      </c>
    </row>
    <row r="71" spans="1:11" ht="30">
      <c r="A71" s="25" t="s">
        <v>287</v>
      </c>
      <c r="B71" s="22" t="s">
        <v>24</v>
      </c>
      <c r="C71" s="22" t="s">
        <v>112</v>
      </c>
      <c r="D71" s="22">
        <v>3</v>
      </c>
      <c r="E71" s="22">
        <v>0.7</v>
      </c>
      <c r="F71" s="22">
        <f>F69</f>
        <v>236.59</v>
      </c>
      <c r="G71" s="26">
        <f t="shared" si="17"/>
        <v>165.613</v>
      </c>
      <c r="H71" s="26">
        <f t="shared" si="19"/>
        <v>50.180739</v>
      </c>
      <c r="I71" s="26">
        <f t="shared" si="18"/>
        <v>49.6839</v>
      </c>
      <c r="J71" s="26">
        <f t="shared" si="16"/>
        <v>265.477639</v>
      </c>
      <c r="K71" s="26">
        <f t="shared" si="3"/>
        <v>313.26361402</v>
      </c>
    </row>
    <row r="72" spans="1:11" ht="30" hidden="1">
      <c r="A72" s="25" t="s">
        <v>186</v>
      </c>
      <c r="B72" s="23" t="s">
        <v>26</v>
      </c>
      <c r="C72" s="22" t="s">
        <v>112</v>
      </c>
      <c r="D72" s="22">
        <v>3</v>
      </c>
      <c r="E72" s="22">
        <v>0.7</v>
      </c>
      <c r="F72" s="22">
        <f t="shared" si="4"/>
        <v>236.59</v>
      </c>
      <c r="G72" s="26">
        <f t="shared" si="17"/>
        <v>165.613</v>
      </c>
      <c r="H72" s="26">
        <f t="shared" si="19"/>
        <v>50.180739</v>
      </c>
      <c r="I72" s="26">
        <f aca="true" t="shared" si="20" ref="I72:I78">G72*30/100</f>
        <v>49.6839</v>
      </c>
      <c r="J72" s="26">
        <f t="shared" si="16"/>
        <v>265.477639</v>
      </c>
      <c r="K72" s="26">
        <f t="shared" si="3"/>
        <v>313.26361402</v>
      </c>
    </row>
    <row r="73" spans="1:11" ht="30" hidden="1">
      <c r="A73" s="25" t="s">
        <v>247</v>
      </c>
      <c r="B73" s="23" t="s">
        <v>32</v>
      </c>
      <c r="C73" s="22" t="s">
        <v>112</v>
      </c>
      <c r="D73" s="22">
        <v>3</v>
      </c>
      <c r="E73" s="22">
        <v>0.3</v>
      </c>
      <c r="F73" s="22">
        <f t="shared" si="4"/>
        <v>236.59</v>
      </c>
      <c r="G73" s="26">
        <f t="shared" si="17"/>
        <v>70.977</v>
      </c>
      <c r="H73" s="26">
        <f t="shared" si="19"/>
        <v>21.506031000000004</v>
      </c>
      <c r="I73" s="26">
        <f t="shared" si="20"/>
        <v>21.2931</v>
      </c>
      <c r="J73" s="26">
        <f t="shared" si="16"/>
        <v>113.776131</v>
      </c>
      <c r="K73" s="26">
        <f t="shared" si="3"/>
        <v>134.25583458</v>
      </c>
    </row>
    <row r="74" spans="1:11" ht="30">
      <c r="A74" s="25" t="s">
        <v>247</v>
      </c>
      <c r="B74" s="23" t="s">
        <v>34</v>
      </c>
      <c r="C74" s="22" t="s">
        <v>112</v>
      </c>
      <c r="D74" s="22">
        <v>3</v>
      </c>
      <c r="E74" s="22">
        <v>0.49</v>
      </c>
      <c r="F74" s="22">
        <f t="shared" si="4"/>
        <v>236.59</v>
      </c>
      <c r="G74" s="26">
        <f t="shared" si="17"/>
        <v>115.9291</v>
      </c>
      <c r="H74" s="26">
        <f t="shared" si="19"/>
        <v>35.1265173</v>
      </c>
      <c r="I74" s="26">
        <f t="shared" si="20"/>
        <v>34.77873</v>
      </c>
      <c r="J74" s="26">
        <f t="shared" si="16"/>
        <v>185.8343473</v>
      </c>
      <c r="K74" s="26">
        <f t="shared" si="3"/>
        <v>219.28452981399997</v>
      </c>
    </row>
    <row r="75" spans="1:11" ht="30" hidden="1">
      <c r="A75" s="25" t="s">
        <v>189</v>
      </c>
      <c r="B75" s="23" t="s">
        <v>36</v>
      </c>
      <c r="C75" s="22" t="s">
        <v>112</v>
      </c>
      <c r="D75" s="22">
        <v>4</v>
      </c>
      <c r="E75" s="22">
        <v>0.48</v>
      </c>
      <c r="F75" s="22">
        <f t="shared" si="4"/>
        <v>236.59</v>
      </c>
      <c r="G75" s="26">
        <f t="shared" si="17"/>
        <v>113.5632</v>
      </c>
      <c r="H75" s="26">
        <f t="shared" si="19"/>
        <v>34.409649599999995</v>
      </c>
      <c r="I75" s="26">
        <f t="shared" si="20"/>
        <v>34.06896</v>
      </c>
      <c r="J75" s="26">
        <f t="shared" si="16"/>
        <v>182.0418096</v>
      </c>
      <c r="K75" s="26">
        <f t="shared" si="3"/>
        <v>214.80933532799997</v>
      </c>
    </row>
    <row r="76" spans="1:11" ht="15">
      <c r="A76" s="25" t="s">
        <v>248</v>
      </c>
      <c r="B76" s="22" t="s">
        <v>38</v>
      </c>
      <c r="C76" s="22" t="s">
        <v>112</v>
      </c>
      <c r="D76" s="22">
        <v>4</v>
      </c>
      <c r="E76" s="22">
        <v>0.81</v>
      </c>
      <c r="F76" s="22">
        <f t="shared" si="4"/>
        <v>236.59</v>
      </c>
      <c r="G76" s="26">
        <f t="shared" si="17"/>
        <v>191.6379</v>
      </c>
      <c r="H76" s="26">
        <f t="shared" si="19"/>
        <v>58.06628370000001</v>
      </c>
      <c r="I76" s="26">
        <f t="shared" si="20"/>
        <v>57.491369999999996</v>
      </c>
      <c r="J76" s="26">
        <f t="shared" si="16"/>
        <v>307.1955537</v>
      </c>
      <c r="K76" s="26">
        <f t="shared" si="3"/>
        <v>362.490753366</v>
      </c>
    </row>
    <row r="77" spans="1:11" ht="45" hidden="1">
      <c r="A77" s="25" t="s">
        <v>190</v>
      </c>
      <c r="B77" s="22" t="s">
        <v>38</v>
      </c>
      <c r="C77" s="22" t="s">
        <v>112</v>
      </c>
      <c r="D77" s="22">
        <v>4</v>
      </c>
      <c r="E77" s="22">
        <v>0.81</v>
      </c>
      <c r="F77" s="22">
        <f t="shared" si="4"/>
        <v>236.59</v>
      </c>
      <c r="G77" s="26">
        <f t="shared" si="17"/>
        <v>191.6379</v>
      </c>
      <c r="H77" s="26">
        <f t="shared" si="19"/>
        <v>58.06628370000001</v>
      </c>
      <c r="I77" s="26">
        <f t="shared" si="20"/>
        <v>57.491369999999996</v>
      </c>
      <c r="J77" s="26">
        <f t="shared" si="16"/>
        <v>307.1955537</v>
      </c>
      <c r="K77" s="26">
        <f aca="true" t="shared" si="21" ref="K77:K140">J77*1.18</f>
        <v>362.490753366</v>
      </c>
    </row>
    <row r="78" spans="1:11" ht="91.5" customHeight="1">
      <c r="A78" s="25" t="s">
        <v>214</v>
      </c>
      <c r="B78" s="23" t="s">
        <v>221</v>
      </c>
      <c r="C78" s="22" t="s">
        <v>222</v>
      </c>
      <c r="D78" s="22">
        <v>4</v>
      </c>
      <c r="E78" s="22">
        <v>0.32</v>
      </c>
      <c r="F78" s="22">
        <f t="shared" si="4"/>
        <v>236.59</v>
      </c>
      <c r="G78" s="26">
        <f t="shared" si="17"/>
        <v>75.7088</v>
      </c>
      <c r="H78" s="26">
        <f t="shared" si="19"/>
        <v>22.9397664</v>
      </c>
      <c r="I78" s="26">
        <f t="shared" si="20"/>
        <v>22.71264</v>
      </c>
      <c r="J78" s="26">
        <f t="shared" si="16"/>
        <v>121.36120639999999</v>
      </c>
      <c r="K78" s="26">
        <f t="shared" si="21"/>
        <v>143.20622355199998</v>
      </c>
    </row>
    <row r="79" spans="1:11" ht="96.75" customHeight="1">
      <c r="A79" s="25" t="s">
        <v>249</v>
      </c>
      <c r="B79" s="23" t="s">
        <v>221</v>
      </c>
      <c r="C79" s="22" t="s">
        <v>222</v>
      </c>
      <c r="D79" s="22">
        <v>4</v>
      </c>
      <c r="E79" s="22">
        <v>0.49</v>
      </c>
      <c r="F79" s="22">
        <f t="shared" si="4"/>
        <v>236.59</v>
      </c>
      <c r="G79" s="26">
        <f>F79*E79</f>
        <v>115.9291</v>
      </c>
      <c r="H79" s="26">
        <f>G79*30.3/100</f>
        <v>35.1265173</v>
      </c>
      <c r="I79" s="26">
        <f>G79*30/100</f>
        <v>34.77873</v>
      </c>
      <c r="J79" s="26">
        <f t="shared" si="16"/>
        <v>185.8343473</v>
      </c>
      <c r="K79" s="26">
        <f t="shared" si="21"/>
        <v>219.28452981399997</v>
      </c>
    </row>
    <row r="80" spans="1:11" ht="102.75" customHeight="1">
      <c r="A80" s="25" t="s">
        <v>215</v>
      </c>
      <c r="B80" s="23" t="s">
        <v>221</v>
      </c>
      <c r="C80" s="22" t="s">
        <v>112</v>
      </c>
      <c r="D80" s="22">
        <v>4</v>
      </c>
      <c r="E80" s="22">
        <v>0.52</v>
      </c>
      <c r="F80" s="22">
        <f>F78</f>
        <v>236.59</v>
      </c>
      <c r="G80" s="26">
        <f aca="true" t="shared" si="22" ref="G80:G87">F80*E80</f>
        <v>123.02680000000001</v>
      </c>
      <c r="H80" s="26">
        <f t="shared" si="19"/>
        <v>37.2771204</v>
      </c>
      <c r="I80" s="26">
        <f aca="true" t="shared" si="23" ref="I80:I87">G80*30/100</f>
        <v>36.90804</v>
      </c>
      <c r="J80" s="26">
        <f t="shared" si="16"/>
        <v>197.2119604</v>
      </c>
      <c r="K80" s="26">
        <f t="shared" si="21"/>
        <v>232.710113272</v>
      </c>
    </row>
    <row r="81" spans="1:11" ht="97.5" customHeight="1">
      <c r="A81" s="25" t="s">
        <v>216</v>
      </c>
      <c r="B81" s="23" t="s">
        <v>221</v>
      </c>
      <c r="C81" s="22" t="s">
        <v>112</v>
      </c>
      <c r="D81" s="22">
        <v>4</v>
      </c>
      <c r="E81" s="22">
        <v>0.33</v>
      </c>
      <c r="F81" s="22">
        <f t="shared" si="4"/>
        <v>236.59</v>
      </c>
      <c r="G81" s="26">
        <f t="shared" si="22"/>
        <v>78.0747</v>
      </c>
      <c r="H81" s="26">
        <f t="shared" si="19"/>
        <v>23.6566341</v>
      </c>
      <c r="I81" s="26">
        <f t="shared" si="23"/>
        <v>23.42241</v>
      </c>
      <c r="J81" s="26">
        <f t="shared" si="16"/>
        <v>125.15374410000001</v>
      </c>
      <c r="K81" s="26">
        <f t="shared" si="21"/>
        <v>147.681418038</v>
      </c>
    </row>
    <row r="82" spans="1:11" ht="96.75" customHeight="1">
      <c r="A82" s="25" t="s">
        <v>217</v>
      </c>
      <c r="B82" s="23" t="s">
        <v>221</v>
      </c>
      <c r="C82" s="22" t="s">
        <v>112</v>
      </c>
      <c r="D82" s="22">
        <v>4</v>
      </c>
      <c r="E82" s="22">
        <v>1.4</v>
      </c>
      <c r="F82" s="22">
        <f t="shared" si="4"/>
        <v>236.59</v>
      </c>
      <c r="G82" s="26">
        <f t="shared" si="22"/>
        <v>331.226</v>
      </c>
      <c r="H82" s="26">
        <f t="shared" si="19"/>
        <v>100.361478</v>
      </c>
      <c r="I82" s="26">
        <f t="shared" si="23"/>
        <v>99.3678</v>
      </c>
      <c r="J82" s="26">
        <f t="shared" si="16"/>
        <v>530.955278</v>
      </c>
      <c r="K82" s="26">
        <f t="shared" si="21"/>
        <v>626.52722804</v>
      </c>
    </row>
    <row r="83" spans="1:11" ht="135">
      <c r="A83" s="25" t="s">
        <v>250</v>
      </c>
      <c r="B83" s="23" t="s">
        <v>221</v>
      </c>
      <c r="C83" s="22" t="s">
        <v>112</v>
      </c>
      <c r="D83" s="22">
        <v>4</v>
      </c>
      <c r="E83" s="22">
        <v>0.25</v>
      </c>
      <c r="F83" s="22">
        <f t="shared" si="4"/>
        <v>236.59</v>
      </c>
      <c r="G83" s="26">
        <f>F83*E83</f>
        <v>59.1475</v>
      </c>
      <c r="H83" s="26">
        <f>G83*30.3/100</f>
        <v>17.921692500000002</v>
      </c>
      <c r="I83" s="26">
        <f>G83*30/100</f>
        <v>17.74425</v>
      </c>
      <c r="J83" s="26">
        <f t="shared" si="16"/>
        <v>94.81344250000001</v>
      </c>
      <c r="K83" s="26">
        <f t="shared" si="21"/>
        <v>111.87986215000001</v>
      </c>
    </row>
    <row r="84" spans="1:11" ht="135" hidden="1">
      <c r="A84" s="25" t="s">
        <v>218</v>
      </c>
      <c r="B84" s="23" t="s">
        <v>221</v>
      </c>
      <c r="C84" s="22" t="s">
        <v>112</v>
      </c>
      <c r="D84" s="22">
        <v>4</v>
      </c>
      <c r="E84" s="22">
        <v>2.35</v>
      </c>
      <c r="F84" s="22">
        <f>F82</f>
        <v>236.59</v>
      </c>
      <c r="G84" s="26">
        <f t="shared" si="22"/>
        <v>555.9865</v>
      </c>
      <c r="H84" s="26">
        <f t="shared" si="19"/>
        <v>168.4639095</v>
      </c>
      <c r="I84" s="26">
        <f t="shared" si="23"/>
        <v>166.79595</v>
      </c>
      <c r="J84" s="26">
        <f t="shared" si="16"/>
        <v>891.2463594999999</v>
      </c>
      <c r="K84" s="26">
        <f t="shared" si="21"/>
        <v>1051.67070421</v>
      </c>
    </row>
    <row r="85" spans="1:11" ht="135">
      <c r="A85" s="25" t="s">
        <v>251</v>
      </c>
      <c r="B85" s="23" t="s">
        <v>221</v>
      </c>
      <c r="C85" s="22" t="s">
        <v>112</v>
      </c>
      <c r="D85" s="22">
        <v>4</v>
      </c>
      <c r="E85" s="22">
        <v>2.35</v>
      </c>
      <c r="F85" s="22">
        <f>F83</f>
        <v>236.59</v>
      </c>
      <c r="G85" s="26">
        <f>F85*E85</f>
        <v>555.9865</v>
      </c>
      <c r="H85" s="26">
        <f>G85*30.3/100</f>
        <v>168.4639095</v>
      </c>
      <c r="I85" s="26">
        <f>G85*30/100</f>
        <v>166.79595</v>
      </c>
      <c r="J85" s="26">
        <f t="shared" si="16"/>
        <v>891.2463594999999</v>
      </c>
      <c r="K85" s="26">
        <f t="shared" si="21"/>
        <v>1051.67070421</v>
      </c>
    </row>
    <row r="86" spans="1:11" ht="135">
      <c r="A86" s="25" t="s">
        <v>288</v>
      </c>
      <c r="B86" s="23" t="s">
        <v>221</v>
      </c>
      <c r="C86" s="22" t="s">
        <v>112</v>
      </c>
      <c r="D86" s="22">
        <v>4</v>
      </c>
      <c r="E86" s="22">
        <v>2.35</v>
      </c>
      <c r="F86" s="22">
        <f>F84</f>
        <v>236.59</v>
      </c>
      <c r="G86" s="26">
        <f>F86*E86</f>
        <v>555.9865</v>
      </c>
      <c r="H86" s="26">
        <f t="shared" si="19"/>
        <v>168.4639095</v>
      </c>
      <c r="I86" s="26">
        <f>G86*30/100</f>
        <v>166.79595</v>
      </c>
      <c r="J86" s="26">
        <f t="shared" si="16"/>
        <v>891.2463594999999</v>
      </c>
      <c r="K86" s="26">
        <f t="shared" si="21"/>
        <v>1051.67070421</v>
      </c>
    </row>
    <row r="87" spans="1:11" ht="135">
      <c r="A87" s="25" t="s">
        <v>219</v>
      </c>
      <c r="B87" s="23" t="s">
        <v>221</v>
      </c>
      <c r="C87" s="22" t="s">
        <v>112</v>
      </c>
      <c r="D87" s="22">
        <v>4</v>
      </c>
      <c r="E87" s="22">
        <v>1.4</v>
      </c>
      <c r="F87" s="22">
        <f t="shared" si="4"/>
        <v>236.59</v>
      </c>
      <c r="G87" s="26">
        <f t="shared" si="22"/>
        <v>331.226</v>
      </c>
      <c r="H87" s="26">
        <f t="shared" si="19"/>
        <v>100.361478</v>
      </c>
      <c r="I87" s="26">
        <f t="shared" si="23"/>
        <v>99.3678</v>
      </c>
      <c r="J87" s="26">
        <f t="shared" si="16"/>
        <v>530.955278</v>
      </c>
      <c r="K87" s="26">
        <f t="shared" si="21"/>
        <v>626.52722804</v>
      </c>
    </row>
    <row r="88" spans="1:11" ht="135">
      <c r="A88" s="25" t="s">
        <v>220</v>
      </c>
      <c r="B88" s="23" t="s">
        <v>221</v>
      </c>
      <c r="C88" s="22" t="s">
        <v>112</v>
      </c>
      <c r="D88" s="22">
        <v>4</v>
      </c>
      <c r="E88" s="22">
        <v>1.2</v>
      </c>
      <c r="F88" s="22">
        <f t="shared" si="4"/>
        <v>236.59</v>
      </c>
      <c r="G88" s="26">
        <f aca="true" t="shared" si="24" ref="G88:G97">F88*E88</f>
        <v>283.908</v>
      </c>
      <c r="H88" s="26">
        <f t="shared" si="19"/>
        <v>86.02412400000001</v>
      </c>
      <c r="I88" s="26">
        <f aca="true" t="shared" si="25" ref="I88:I97">G88*30/100</f>
        <v>85.1724</v>
      </c>
      <c r="J88" s="26">
        <f aca="true" t="shared" si="26" ref="J88:J97">G88+H88+I88</f>
        <v>455.104524</v>
      </c>
      <c r="K88" s="26">
        <f t="shared" si="21"/>
        <v>537.02333832</v>
      </c>
    </row>
    <row r="89" spans="1:11" ht="135">
      <c r="A89" s="25" t="s">
        <v>267</v>
      </c>
      <c r="B89" s="23" t="s">
        <v>221</v>
      </c>
      <c r="C89" s="22" t="s">
        <v>112</v>
      </c>
      <c r="D89" s="22">
        <v>4</v>
      </c>
      <c r="E89" s="22">
        <v>2.35</v>
      </c>
      <c r="F89" s="22">
        <f t="shared" si="4"/>
        <v>236.59</v>
      </c>
      <c r="G89" s="26">
        <f t="shared" si="24"/>
        <v>555.9865</v>
      </c>
      <c r="H89" s="26">
        <f t="shared" si="19"/>
        <v>168.4639095</v>
      </c>
      <c r="I89" s="26">
        <f t="shared" si="25"/>
        <v>166.79595</v>
      </c>
      <c r="J89" s="26">
        <f t="shared" si="26"/>
        <v>891.2463594999999</v>
      </c>
      <c r="K89" s="26">
        <f t="shared" si="21"/>
        <v>1051.67070421</v>
      </c>
    </row>
    <row r="90" spans="1:11" ht="135">
      <c r="A90" s="25" t="s">
        <v>262</v>
      </c>
      <c r="B90" s="23" t="s">
        <v>221</v>
      </c>
      <c r="C90" s="22" t="s">
        <v>112</v>
      </c>
      <c r="D90" s="22">
        <v>4</v>
      </c>
      <c r="E90" s="22">
        <v>1.45</v>
      </c>
      <c r="F90" s="22">
        <f t="shared" si="4"/>
        <v>236.59</v>
      </c>
      <c r="G90" s="26">
        <f t="shared" si="24"/>
        <v>343.0555</v>
      </c>
      <c r="H90" s="26">
        <f aca="true" t="shared" si="27" ref="H90:H97">G90*30.3/100</f>
        <v>103.9458165</v>
      </c>
      <c r="I90" s="26">
        <f t="shared" si="25"/>
        <v>102.91664999999999</v>
      </c>
      <c r="J90" s="26">
        <f t="shared" si="26"/>
        <v>549.9179665</v>
      </c>
      <c r="K90" s="26">
        <f t="shared" si="21"/>
        <v>648.90320047</v>
      </c>
    </row>
    <row r="91" spans="1:11" ht="135">
      <c r="A91" s="25" t="s">
        <v>263</v>
      </c>
      <c r="B91" s="23" t="s">
        <v>221</v>
      </c>
      <c r="C91" s="22" t="s">
        <v>112</v>
      </c>
      <c r="D91" s="22">
        <v>4</v>
      </c>
      <c r="E91" s="22">
        <v>2.15</v>
      </c>
      <c r="F91" s="22">
        <f t="shared" si="4"/>
        <v>236.59</v>
      </c>
      <c r="G91" s="26">
        <f t="shared" si="24"/>
        <v>508.6685</v>
      </c>
      <c r="H91" s="26">
        <f t="shared" si="27"/>
        <v>154.1265555</v>
      </c>
      <c r="I91" s="26">
        <f t="shared" si="25"/>
        <v>152.60055</v>
      </c>
      <c r="J91" s="26">
        <f t="shared" si="26"/>
        <v>815.3956055</v>
      </c>
      <c r="K91" s="26">
        <f t="shared" si="21"/>
        <v>962.16681449</v>
      </c>
    </row>
    <row r="92" spans="1:11" ht="135">
      <c r="A92" s="25" t="s">
        <v>264</v>
      </c>
      <c r="B92" s="23" t="s">
        <v>221</v>
      </c>
      <c r="C92" s="22" t="s">
        <v>112</v>
      </c>
      <c r="D92" s="22">
        <v>4</v>
      </c>
      <c r="E92" s="22">
        <v>2.5</v>
      </c>
      <c r="F92" s="22">
        <f t="shared" si="4"/>
        <v>236.59</v>
      </c>
      <c r="G92" s="26">
        <f t="shared" si="24"/>
        <v>591.475</v>
      </c>
      <c r="H92" s="26">
        <f t="shared" si="27"/>
        <v>179.216925</v>
      </c>
      <c r="I92" s="26">
        <f t="shared" si="25"/>
        <v>177.4425</v>
      </c>
      <c r="J92" s="26">
        <f t="shared" si="26"/>
        <v>948.1344250000001</v>
      </c>
      <c r="K92" s="26">
        <f t="shared" si="21"/>
        <v>1118.7986215</v>
      </c>
    </row>
    <row r="93" spans="1:11" ht="108.75" customHeight="1">
      <c r="A93" s="25" t="s">
        <v>265</v>
      </c>
      <c r="B93" s="23" t="s">
        <v>221</v>
      </c>
      <c r="C93" s="22" t="s">
        <v>112</v>
      </c>
      <c r="D93" s="22">
        <v>4</v>
      </c>
      <c r="E93" s="22">
        <v>2.9</v>
      </c>
      <c r="F93" s="22">
        <f t="shared" si="4"/>
        <v>236.59</v>
      </c>
      <c r="G93" s="26">
        <f t="shared" si="24"/>
        <v>686.111</v>
      </c>
      <c r="H93" s="26">
        <f t="shared" si="27"/>
        <v>207.891633</v>
      </c>
      <c r="I93" s="26">
        <f t="shared" si="25"/>
        <v>205.83329999999998</v>
      </c>
      <c r="J93" s="26">
        <f t="shared" si="26"/>
        <v>1099.835933</v>
      </c>
      <c r="K93" s="26">
        <f t="shared" si="21"/>
        <v>1297.80640094</v>
      </c>
    </row>
    <row r="94" spans="1:11" ht="135">
      <c r="A94" s="25" t="s">
        <v>257</v>
      </c>
      <c r="B94" s="23" t="s">
        <v>221</v>
      </c>
      <c r="C94" s="22" t="s">
        <v>112</v>
      </c>
      <c r="D94" s="22">
        <v>4</v>
      </c>
      <c r="E94" s="22">
        <v>0.75</v>
      </c>
      <c r="F94" s="22">
        <f>F89</f>
        <v>236.59</v>
      </c>
      <c r="G94" s="26">
        <f t="shared" si="24"/>
        <v>177.4425</v>
      </c>
      <c r="H94" s="26">
        <f t="shared" si="27"/>
        <v>53.7650775</v>
      </c>
      <c r="I94" s="26">
        <f t="shared" si="25"/>
        <v>53.232749999999996</v>
      </c>
      <c r="J94" s="26">
        <f t="shared" si="26"/>
        <v>284.44032749999997</v>
      </c>
      <c r="K94" s="26">
        <f t="shared" si="21"/>
        <v>335.63958644999997</v>
      </c>
    </row>
    <row r="95" spans="1:11" ht="135">
      <c r="A95" s="25" t="s">
        <v>258</v>
      </c>
      <c r="B95" s="23" t="s">
        <v>221</v>
      </c>
      <c r="C95" s="22" t="s">
        <v>112</v>
      </c>
      <c r="D95" s="22">
        <v>4</v>
      </c>
      <c r="E95" s="22">
        <v>1</v>
      </c>
      <c r="F95" s="22">
        <f t="shared" si="4"/>
        <v>236.59</v>
      </c>
      <c r="G95" s="26">
        <f t="shared" si="24"/>
        <v>236.59</v>
      </c>
      <c r="H95" s="26">
        <f t="shared" si="27"/>
        <v>71.68677000000001</v>
      </c>
      <c r="I95" s="26">
        <f t="shared" si="25"/>
        <v>70.977</v>
      </c>
      <c r="J95" s="26">
        <f t="shared" si="26"/>
        <v>379.25377000000003</v>
      </c>
      <c r="K95" s="26">
        <f t="shared" si="21"/>
        <v>447.51944860000003</v>
      </c>
    </row>
    <row r="96" spans="1:11" ht="99" customHeight="1">
      <c r="A96" s="25" t="s">
        <v>259</v>
      </c>
      <c r="B96" s="23" t="s">
        <v>221</v>
      </c>
      <c r="C96" s="22" t="s">
        <v>112</v>
      </c>
      <c r="D96" s="22">
        <v>4</v>
      </c>
      <c r="E96" s="22">
        <v>1.5</v>
      </c>
      <c r="F96" s="22">
        <f t="shared" si="4"/>
        <v>236.59</v>
      </c>
      <c r="G96" s="26">
        <f t="shared" si="24"/>
        <v>354.885</v>
      </c>
      <c r="H96" s="26">
        <f t="shared" si="27"/>
        <v>107.530155</v>
      </c>
      <c r="I96" s="26">
        <f t="shared" si="25"/>
        <v>106.46549999999999</v>
      </c>
      <c r="J96" s="26">
        <f t="shared" si="26"/>
        <v>568.8806549999999</v>
      </c>
      <c r="K96" s="26">
        <f t="shared" si="21"/>
        <v>671.2791728999999</v>
      </c>
    </row>
    <row r="97" spans="1:11" s="19" customFormat="1" ht="135">
      <c r="A97" s="28" t="s">
        <v>269</v>
      </c>
      <c r="B97" s="29" t="s">
        <v>221</v>
      </c>
      <c r="C97" s="30" t="s">
        <v>112</v>
      </c>
      <c r="D97" s="30">
        <v>4</v>
      </c>
      <c r="E97" s="30">
        <v>0.3</v>
      </c>
      <c r="F97" s="30">
        <f t="shared" si="4"/>
        <v>236.59</v>
      </c>
      <c r="G97" s="31">
        <f t="shared" si="24"/>
        <v>70.977</v>
      </c>
      <c r="H97" s="31">
        <f t="shared" si="27"/>
        <v>21.506031000000004</v>
      </c>
      <c r="I97" s="31">
        <f t="shared" si="25"/>
        <v>21.2931</v>
      </c>
      <c r="J97" s="31">
        <f t="shared" si="26"/>
        <v>113.776131</v>
      </c>
      <c r="K97" s="26">
        <f t="shared" si="21"/>
        <v>134.25583458</v>
      </c>
    </row>
    <row r="98" spans="1:11" ht="15">
      <c r="A98" s="54" t="s">
        <v>71</v>
      </c>
      <c r="B98" s="55"/>
      <c r="C98" s="55"/>
      <c r="D98" s="55"/>
      <c r="E98" s="55"/>
      <c r="F98" s="55"/>
      <c r="G98" s="55"/>
      <c r="H98" s="55"/>
      <c r="I98" s="55"/>
      <c r="J98" s="56"/>
      <c r="K98" s="26">
        <f t="shared" si="21"/>
        <v>0</v>
      </c>
    </row>
    <row r="99" spans="1:11" ht="30">
      <c r="A99" s="25" t="s">
        <v>72</v>
      </c>
      <c r="B99" s="23" t="s">
        <v>275</v>
      </c>
      <c r="C99" s="22" t="s">
        <v>274</v>
      </c>
      <c r="D99" s="24">
        <v>4</v>
      </c>
      <c r="E99" s="24">
        <v>1</v>
      </c>
      <c r="F99" s="22">
        <v>236.59</v>
      </c>
      <c r="G99" s="34">
        <f>F99*E99</f>
        <v>236.59</v>
      </c>
      <c r="H99" s="34">
        <f>G99*30.3/100</f>
        <v>71.68677000000001</v>
      </c>
      <c r="I99" s="34">
        <f>G99*30/100</f>
        <v>70.977</v>
      </c>
      <c r="J99" s="34">
        <f>G99+H99+I99</f>
        <v>379.25377000000003</v>
      </c>
      <c r="K99" s="26">
        <f t="shared" si="21"/>
        <v>447.51944860000003</v>
      </c>
    </row>
    <row r="100" spans="1:11" ht="30">
      <c r="A100" s="23" t="s">
        <v>73</v>
      </c>
      <c r="B100" s="33" t="s">
        <v>99</v>
      </c>
      <c r="C100" s="22" t="s">
        <v>274</v>
      </c>
      <c r="D100" s="24">
        <v>4</v>
      </c>
      <c r="E100" s="24">
        <v>1</v>
      </c>
      <c r="F100" s="24">
        <v>265.49</v>
      </c>
      <c r="G100" s="24">
        <f>F100*E100</f>
        <v>265.49</v>
      </c>
      <c r="H100" s="34">
        <f>G100*30.3/100</f>
        <v>80.44347</v>
      </c>
      <c r="I100" s="34">
        <f>G100*30/100</f>
        <v>79.647</v>
      </c>
      <c r="J100" s="34">
        <f>G100+H100+I100</f>
        <v>425.58047</v>
      </c>
      <c r="K100" s="26">
        <f t="shared" si="21"/>
        <v>502.18495459999997</v>
      </c>
    </row>
    <row r="101" spans="1:11" ht="15">
      <c r="A101" s="54" t="s">
        <v>74</v>
      </c>
      <c r="B101" s="55"/>
      <c r="C101" s="55"/>
      <c r="D101" s="55"/>
      <c r="E101" s="55"/>
      <c r="F101" s="55"/>
      <c r="G101" s="55"/>
      <c r="H101" s="55"/>
      <c r="I101" s="55"/>
      <c r="J101" s="56"/>
      <c r="K101" s="26">
        <f t="shared" si="21"/>
        <v>0</v>
      </c>
    </row>
    <row r="102" spans="1:11" ht="30">
      <c r="A102" s="25" t="s">
        <v>72</v>
      </c>
      <c r="B102" s="23" t="s">
        <v>275</v>
      </c>
      <c r="C102" s="22" t="s">
        <v>274</v>
      </c>
      <c r="D102" s="24">
        <v>4</v>
      </c>
      <c r="E102" s="22">
        <v>1</v>
      </c>
      <c r="F102" s="22">
        <v>236.59</v>
      </c>
      <c r="G102" s="26">
        <f>F102*E102</f>
        <v>236.59</v>
      </c>
      <c r="H102" s="26">
        <f>G102*30.3/100</f>
        <v>71.68677000000001</v>
      </c>
      <c r="I102" s="26">
        <f>G102*30/100</f>
        <v>70.977</v>
      </c>
      <c r="J102" s="26">
        <f>G102+H102+I102</f>
        <v>379.25377000000003</v>
      </c>
      <c r="K102" s="26">
        <f t="shared" si="21"/>
        <v>447.51944860000003</v>
      </c>
    </row>
    <row r="103" spans="1:11" ht="30">
      <c r="A103" s="25" t="s">
        <v>75</v>
      </c>
      <c r="B103" s="33" t="s">
        <v>99</v>
      </c>
      <c r="C103" s="22" t="s">
        <v>274</v>
      </c>
      <c r="D103" s="24">
        <v>4</v>
      </c>
      <c r="E103" s="22">
        <v>1</v>
      </c>
      <c r="F103" s="22">
        <v>234.02</v>
      </c>
      <c r="G103" s="22">
        <f>F103*E103</f>
        <v>234.02</v>
      </c>
      <c r="H103" s="26">
        <f>G103*30.3/100</f>
        <v>70.90806</v>
      </c>
      <c r="I103" s="26">
        <f>G103*30/100</f>
        <v>70.206</v>
      </c>
      <c r="J103" s="26">
        <f>G103+H103+I103</f>
        <v>375.13406000000003</v>
      </c>
      <c r="K103" s="26">
        <f t="shared" si="21"/>
        <v>442.6581908</v>
      </c>
    </row>
    <row r="104" spans="1:11" ht="15">
      <c r="A104" s="59" t="s">
        <v>76</v>
      </c>
      <c r="B104" s="60"/>
      <c r="C104" s="60"/>
      <c r="D104" s="60"/>
      <c r="E104" s="60"/>
      <c r="F104" s="60"/>
      <c r="G104" s="60"/>
      <c r="H104" s="60"/>
      <c r="I104" s="60"/>
      <c r="J104" s="61"/>
      <c r="K104" s="26"/>
    </row>
    <row r="105" spans="1:11" ht="30">
      <c r="A105" s="25" t="s">
        <v>292</v>
      </c>
      <c r="B105" s="33" t="s">
        <v>78</v>
      </c>
      <c r="C105" s="24" t="s">
        <v>79</v>
      </c>
      <c r="D105" s="24">
        <v>2.5</v>
      </c>
      <c r="E105" s="24">
        <v>0.45</v>
      </c>
      <c r="F105" s="22">
        <v>236.59</v>
      </c>
      <c r="G105" s="26">
        <f>F105*E105</f>
        <v>106.4655</v>
      </c>
      <c r="H105" s="26">
        <f>G105*30.3/100</f>
        <v>32.259046500000004</v>
      </c>
      <c r="I105" s="26">
        <f>G105*30/100</f>
        <v>31.93965</v>
      </c>
      <c r="J105" s="26">
        <f>G105+H105+I105</f>
        <v>170.6641965</v>
      </c>
      <c r="K105" s="26">
        <f t="shared" si="21"/>
        <v>201.38375187</v>
      </c>
    </row>
    <row r="106" spans="1:11" ht="30">
      <c r="A106" s="25" t="s">
        <v>293</v>
      </c>
      <c r="B106" s="33" t="s">
        <v>78</v>
      </c>
      <c r="C106" s="24" t="s">
        <v>79</v>
      </c>
      <c r="D106" s="24">
        <v>2.5</v>
      </c>
      <c r="E106" s="24">
        <v>0.45</v>
      </c>
      <c r="F106" s="22">
        <v>236.59</v>
      </c>
      <c r="G106" s="26">
        <f>F106*E106</f>
        <v>106.4655</v>
      </c>
      <c r="H106" s="26">
        <f>G106*30.3/100</f>
        <v>32.259046500000004</v>
      </c>
      <c r="I106" s="26">
        <f>G106*30/100</f>
        <v>31.93965</v>
      </c>
      <c r="J106" s="26">
        <f>G106+H106+I106</f>
        <v>170.6641965</v>
      </c>
      <c r="K106" s="26">
        <f t="shared" si="21"/>
        <v>201.38375187</v>
      </c>
    </row>
    <row r="107" spans="1:11" ht="15">
      <c r="A107" s="59" t="s">
        <v>200</v>
      </c>
      <c r="B107" s="60"/>
      <c r="C107" s="60"/>
      <c r="D107" s="60"/>
      <c r="E107" s="60"/>
      <c r="F107" s="60"/>
      <c r="G107" s="60"/>
      <c r="H107" s="60"/>
      <c r="I107" s="60"/>
      <c r="J107" s="61"/>
      <c r="K107" s="26"/>
    </row>
    <row r="108" spans="1:11" ht="45">
      <c r="A108" s="43" t="s">
        <v>205</v>
      </c>
      <c r="B108" s="35" t="s">
        <v>201</v>
      </c>
      <c r="C108" s="29" t="s">
        <v>112</v>
      </c>
      <c r="D108" s="36">
        <v>3.8</v>
      </c>
      <c r="E108" s="30">
        <v>2.8</v>
      </c>
      <c r="F108" s="30">
        <v>250.91</v>
      </c>
      <c r="G108" s="31">
        <f aca="true" t="shared" si="28" ref="G108:G114">F108*E108</f>
        <v>702.548</v>
      </c>
      <c r="H108" s="31">
        <f aca="true" t="shared" si="29" ref="H108:H114">G108*30.3/100</f>
        <v>212.87204400000002</v>
      </c>
      <c r="I108" s="31">
        <v>288.63</v>
      </c>
      <c r="J108" s="31">
        <f aca="true" t="shared" si="30" ref="J108:J114">G108+H108+I108</f>
        <v>1204.050044</v>
      </c>
      <c r="K108" s="26">
        <f t="shared" si="21"/>
        <v>1420.77905192</v>
      </c>
    </row>
    <row r="109" spans="1:11" ht="45">
      <c r="A109" s="43" t="s">
        <v>204</v>
      </c>
      <c r="B109" s="35" t="s">
        <v>202</v>
      </c>
      <c r="C109" s="29" t="s">
        <v>112</v>
      </c>
      <c r="D109" s="36">
        <v>3.8</v>
      </c>
      <c r="E109" s="30">
        <v>2.5</v>
      </c>
      <c r="F109" s="30">
        <f>F108</f>
        <v>250.91</v>
      </c>
      <c r="G109" s="31">
        <f t="shared" si="28"/>
        <v>627.275</v>
      </c>
      <c r="H109" s="31">
        <f t="shared" si="29"/>
        <v>190.064325</v>
      </c>
      <c r="I109" s="31">
        <v>288.63</v>
      </c>
      <c r="J109" s="31">
        <f t="shared" si="30"/>
        <v>1105.969325</v>
      </c>
      <c r="K109" s="26">
        <f t="shared" si="21"/>
        <v>1305.0438035</v>
      </c>
    </row>
    <row r="110" spans="1:11" ht="43.5" customHeight="1">
      <c r="A110" s="43" t="s">
        <v>210</v>
      </c>
      <c r="B110" s="29" t="s">
        <v>203</v>
      </c>
      <c r="C110" s="29" t="s">
        <v>112</v>
      </c>
      <c r="D110" s="36">
        <v>3.5</v>
      </c>
      <c r="E110" s="30">
        <v>1.7</v>
      </c>
      <c r="F110" s="30">
        <f>F108</f>
        <v>250.91</v>
      </c>
      <c r="G110" s="31">
        <f t="shared" si="28"/>
        <v>426.54699999999997</v>
      </c>
      <c r="H110" s="31">
        <f t="shared" si="29"/>
        <v>129.243741</v>
      </c>
      <c r="I110" s="31">
        <v>262.97</v>
      </c>
      <c r="J110" s="31">
        <f t="shared" si="30"/>
        <v>818.760741</v>
      </c>
      <c r="K110" s="26">
        <f t="shared" si="21"/>
        <v>966.13767438</v>
      </c>
    </row>
    <row r="111" spans="1:11" ht="65.25" customHeight="1">
      <c r="A111" s="43" t="s">
        <v>212</v>
      </c>
      <c r="B111" s="35" t="s">
        <v>208</v>
      </c>
      <c r="C111" s="29" t="s">
        <v>112</v>
      </c>
      <c r="D111" s="36">
        <v>4.2</v>
      </c>
      <c r="E111" s="30">
        <v>0.62</v>
      </c>
      <c r="F111" s="30">
        <f>F109</f>
        <v>250.91</v>
      </c>
      <c r="G111" s="31">
        <f t="shared" si="28"/>
        <v>155.5642</v>
      </c>
      <c r="H111" s="31">
        <f t="shared" si="29"/>
        <v>47.1359526</v>
      </c>
      <c r="I111" s="31">
        <v>92.66</v>
      </c>
      <c r="J111" s="31">
        <f t="shared" si="30"/>
        <v>295.3601526</v>
      </c>
      <c r="K111" s="26">
        <f t="shared" si="21"/>
        <v>348.524980068</v>
      </c>
    </row>
    <row r="112" spans="1:11" ht="63.75" customHeight="1">
      <c r="A112" s="43" t="s">
        <v>252</v>
      </c>
      <c r="B112" s="35" t="s">
        <v>208</v>
      </c>
      <c r="C112" s="29" t="s">
        <v>112</v>
      </c>
      <c r="D112" s="36">
        <v>4.2</v>
      </c>
      <c r="E112" s="30">
        <f>0.62*2</f>
        <v>1.24</v>
      </c>
      <c r="F112" s="30">
        <f>F110</f>
        <v>250.91</v>
      </c>
      <c r="G112" s="31">
        <f t="shared" si="28"/>
        <v>311.1284</v>
      </c>
      <c r="H112" s="31">
        <f t="shared" si="29"/>
        <v>94.2719052</v>
      </c>
      <c r="I112" s="31">
        <v>92.66</v>
      </c>
      <c r="J112" s="31">
        <f t="shared" si="30"/>
        <v>498.0603052</v>
      </c>
      <c r="K112" s="26">
        <f t="shared" si="21"/>
        <v>587.711160136</v>
      </c>
    </row>
    <row r="113" spans="1:11" ht="69.75" customHeight="1">
      <c r="A113" s="43" t="s">
        <v>213</v>
      </c>
      <c r="B113" s="35" t="s">
        <v>208</v>
      </c>
      <c r="C113" s="29" t="s">
        <v>112</v>
      </c>
      <c r="D113" s="36">
        <v>4.2</v>
      </c>
      <c r="E113" s="30">
        <v>1.03</v>
      </c>
      <c r="F113" s="30">
        <f>F111</f>
        <v>250.91</v>
      </c>
      <c r="G113" s="31">
        <f t="shared" si="28"/>
        <v>258.4373</v>
      </c>
      <c r="H113" s="31">
        <f t="shared" si="29"/>
        <v>78.3065019</v>
      </c>
      <c r="I113" s="31">
        <v>158.95</v>
      </c>
      <c r="J113" s="31">
        <f t="shared" si="30"/>
        <v>495.6938019</v>
      </c>
      <c r="K113" s="26">
        <f t="shared" si="21"/>
        <v>584.9186862419999</v>
      </c>
    </row>
    <row r="114" spans="1:11" ht="62.25" customHeight="1">
      <c r="A114" s="43" t="s">
        <v>253</v>
      </c>
      <c r="B114" s="35" t="s">
        <v>208</v>
      </c>
      <c r="C114" s="29" t="s">
        <v>112</v>
      </c>
      <c r="D114" s="36">
        <v>4.2</v>
      </c>
      <c r="E114" s="30">
        <f>1.03+0.3</f>
        <v>1.33</v>
      </c>
      <c r="F114" s="30">
        <f>F112</f>
        <v>250.91</v>
      </c>
      <c r="G114" s="31">
        <f t="shared" si="28"/>
        <v>333.7103</v>
      </c>
      <c r="H114" s="31">
        <f t="shared" si="29"/>
        <v>101.1142209</v>
      </c>
      <c r="I114" s="31">
        <v>158.95</v>
      </c>
      <c r="J114" s="31">
        <f t="shared" si="30"/>
        <v>593.7745209</v>
      </c>
      <c r="K114" s="26">
        <f t="shared" si="21"/>
        <v>700.653934662</v>
      </c>
    </row>
    <row r="115" spans="1:11" ht="15">
      <c r="A115" s="54" t="s">
        <v>82</v>
      </c>
      <c r="B115" s="55"/>
      <c r="C115" s="55"/>
      <c r="D115" s="55"/>
      <c r="E115" s="55"/>
      <c r="F115" s="55"/>
      <c r="G115" s="55"/>
      <c r="H115" s="55"/>
      <c r="I115" s="55"/>
      <c r="J115" s="56"/>
      <c r="K115" s="26"/>
    </row>
    <row r="116" spans="1:11" ht="45">
      <c r="A116" s="32" t="s">
        <v>83</v>
      </c>
      <c r="B116" s="33" t="s">
        <v>291</v>
      </c>
      <c r="C116" s="24" t="s">
        <v>88</v>
      </c>
      <c r="D116" s="24">
        <v>2</v>
      </c>
      <c r="E116" s="22">
        <v>2.54</v>
      </c>
      <c r="F116" s="26">
        <v>216.8</v>
      </c>
      <c r="G116" s="26">
        <f aca="true" t="shared" si="31" ref="G116:G139">F116*E116</f>
        <v>550.672</v>
      </c>
      <c r="H116" s="26">
        <f>G116*30.3/100</f>
        <v>166.853616</v>
      </c>
      <c r="I116" s="26">
        <f aca="true" t="shared" si="32" ref="I116:I139">G116*30/100</f>
        <v>165.20159999999998</v>
      </c>
      <c r="J116" s="26">
        <f aca="true" t="shared" si="33" ref="J116:J139">G116+H116+I116</f>
        <v>882.727216</v>
      </c>
      <c r="K116" s="26">
        <f t="shared" si="21"/>
        <v>1041.61811488</v>
      </c>
    </row>
    <row r="117" spans="1:11" ht="47.25" customHeight="1">
      <c r="A117" s="32" t="s">
        <v>83</v>
      </c>
      <c r="B117" s="23" t="s">
        <v>291</v>
      </c>
      <c r="C117" s="24" t="s">
        <v>85</v>
      </c>
      <c r="D117" s="24">
        <v>2</v>
      </c>
      <c r="E117" s="22">
        <v>0.0254</v>
      </c>
      <c r="F117" s="26">
        <v>216.8</v>
      </c>
      <c r="G117" s="26">
        <f t="shared" si="31"/>
        <v>5.5067200000000005</v>
      </c>
      <c r="H117" s="26">
        <f aca="true" t="shared" si="34" ref="H117:H125">G117*30.3/100</f>
        <v>1.6685361600000002</v>
      </c>
      <c r="I117" s="26">
        <f t="shared" si="32"/>
        <v>1.6520160000000002</v>
      </c>
      <c r="J117" s="26">
        <f t="shared" si="33"/>
        <v>8.827272160000001</v>
      </c>
      <c r="K117" s="26">
        <f t="shared" si="21"/>
        <v>10.416181148800002</v>
      </c>
    </row>
    <row r="118" spans="1:11" ht="35.25" customHeight="1">
      <c r="A118" s="32" t="s">
        <v>86</v>
      </c>
      <c r="B118" s="33" t="s">
        <v>87</v>
      </c>
      <c r="C118" s="24" t="s">
        <v>88</v>
      </c>
      <c r="D118" s="24">
        <v>4</v>
      </c>
      <c r="E118" s="22">
        <v>17.6</v>
      </c>
      <c r="F118" s="26">
        <v>216.8</v>
      </c>
      <c r="G118" s="26">
        <f t="shared" si="31"/>
        <v>3815.6800000000003</v>
      </c>
      <c r="H118" s="26">
        <f t="shared" si="34"/>
        <v>1156.15104</v>
      </c>
      <c r="I118" s="26">
        <f t="shared" si="32"/>
        <v>1144.7040000000002</v>
      </c>
      <c r="J118" s="26">
        <f t="shared" si="33"/>
        <v>6116.535040000001</v>
      </c>
      <c r="K118" s="26">
        <f t="shared" si="21"/>
        <v>7217.5113472</v>
      </c>
    </row>
    <row r="119" spans="1:11" ht="31.5" customHeight="1">
      <c r="A119" s="32" t="s">
        <v>86</v>
      </c>
      <c r="B119" s="33" t="s">
        <v>87</v>
      </c>
      <c r="C119" s="24" t="s">
        <v>85</v>
      </c>
      <c r="D119" s="24">
        <v>4</v>
      </c>
      <c r="E119" s="22">
        <v>0.0176</v>
      </c>
      <c r="F119" s="26">
        <v>216.8</v>
      </c>
      <c r="G119" s="26">
        <f t="shared" si="31"/>
        <v>3.8156800000000004</v>
      </c>
      <c r="H119" s="26">
        <f t="shared" si="34"/>
        <v>1.1561510400000001</v>
      </c>
      <c r="I119" s="26">
        <f t="shared" si="32"/>
        <v>1.1447040000000002</v>
      </c>
      <c r="J119" s="26">
        <f t="shared" si="33"/>
        <v>6.1165350400000005</v>
      </c>
      <c r="K119" s="26">
        <f t="shared" si="21"/>
        <v>7.2175113472</v>
      </c>
    </row>
    <row r="120" spans="1:11" ht="36" customHeight="1">
      <c r="A120" s="32" t="s">
        <v>89</v>
      </c>
      <c r="B120" s="33" t="s">
        <v>90</v>
      </c>
      <c r="C120" s="24" t="s">
        <v>88</v>
      </c>
      <c r="D120" s="24">
        <v>2</v>
      </c>
      <c r="E120" s="22">
        <v>9.64</v>
      </c>
      <c r="F120" s="26">
        <v>216.8</v>
      </c>
      <c r="G120" s="26">
        <f t="shared" si="31"/>
        <v>2089.952</v>
      </c>
      <c r="H120" s="26">
        <f t="shared" si="34"/>
        <v>633.2554560000001</v>
      </c>
      <c r="I120" s="26">
        <f t="shared" si="32"/>
        <v>626.9856000000001</v>
      </c>
      <c r="J120" s="26">
        <f t="shared" si="33"/>
        <v>3350.193056</v>
      </c>
      <c r="K120" s="26">
        <f t="shared" si="21"/>
        <v>3953.22780608</v>
      </c>
    </row>
    <row r="121" spans="1:11" ht="30">
      <c r="A121" s="32" t="s">
        <v>89</v>
      </c>
      <c r="B121" s="33" t="s">
        <v>90</v>
      </c>
      <c r="C121" s="24" t="s">
        <v>85</v>
      </c>
      <c r="D121" s="24">
        <v>2</v>
      </c>
      <c r="E121" s="22">
        <v>0.0964</v>
      </c>
      <c r="F121" s="26">
        <v>216.8</v>
      </c>
      <c r="G121" s="26">
        <f t="shared" si="31"/>
        <v>20.899520000000003</v>
      </c>
      <c r="H121" s="26">
        <f t="shared" si="34"/>
        <v>6.332554560000001</v>
      </c>
      <c r="I121" s="26">
        <f t="shared" si="32"/>
        <v>6.269856000000001</v>
      </c>
      <c r="J121" s="26">
        <f t="shared" si="33"/>
        <v>33.501930560000005</v>
      </c>
      <c r="K121" s="26">
        <f t="shared" si="21"/>
        <v>39.5322780608</v>
      </c>
    </row>
    <row r="122" spans="1:11" ht="45">
      <c r="A122" s="32" t="s">
        <v>91</v>
      </c>
      <c r="B122" s="33" t="s">
        <v>92</v>
      </c>
      <c r="C122" s="24" t="s">
        <v>93</v>
      </c>
      <c r="D122" s="24">
        <v>3.8</v>
      </c>
      <c r="E122" s="22">
        <v>51.6</v>
      </c>
      <c r="F122" s="26">
        <v>216.8</v>
      </c>
      <c r="G122" s="26">
        <f t="shared" si="31"/>
        <v>11186.880000000001</v>
      </c>
      <c r="H122" s="26">
        <f t="shared" si="34"/>
        <v>3389.6246400000005</v>
      </c>
      <c r="I122" s="26">
        <f t="shared" si="32"/>
        <v>3356.0640000000003</v>
      </c>
      <c r="J122" s="26">
        <f t="shared" si="33"/>
        <v>17932.56864</v>
      </c>
      <c r="K122" s="26">
        <f t="shared" si="21"/>
        <v>21160.4309952</v>
      </c>
    </row>
    <row r="123" spans="1:11" ht="45">
      <c r="A123" s="32" t="s">
        <v>91</v>
      </c>
      <c r="B123" s="33" t="s">
        <v>92</v>
      </c>
      <c r="C123" s="24" t="s">
        <v>79</v>
      </c>
      <c r="D123" s="24">
        <v>3.8</v>
      </c>
      <c r="E123" s="22">
        <v>0.516</v>
      </c>
      <c r="F123" s="26">
        <v>216.8</v>
      </c>
      <c r="G123" s="26">
        <f t="shared" si="31"/>
        <v>111.86880000000001</v>
      </c>
      <c r="H123" s="26">
        <f t="shared" si="34"/>
        <v>33.8962464</v>
      </c>
      <c r="I123" s="26">
        <f t="shared" si="32"/>
        <v>33.56064000000001</v>
      </c>
      <c r="J123" s="26">
        <f t="shared" si="33"/>
        <v>179.32568640000002</v>
      </c>
      <c r="K123" s="26">
        <f t="shared" si="21"/>
        <v>211.60430995200002</v>
      </c>
    </row>
    <row r="124" spans="1:11" ht="30">
      <c r="A124" s="32" t="s">
        <v>94</v>
      </c>
      <c r="B124" s="33" t="s">
        <v>95</v>
      </c>
      <c r="C124" s="24" t="s">
        <v>19</v>
      </c>
      <c r="D124" s="24">
        <v>2</v>
      </c>
      <c r="E124" s="22">
        <v>0.058</v>
      </c>
      <c r="F124" s="26">
        <v>216.8</v>
      </c>
      <c r="G124" s="26">
        <f t="shared" si="31"/>
        <v>12.5744</v>
      </c>
      <c r="H124" s="26">
        <f t="shared" si="34"/>
        <v>3.8100432</v>
      </c>
      <c r="I124" s="26">
        <f t="shared" si="32"/>
        <v>3.77232</v>
      </c>
      <c r="J124" s="26">
        <f t="shared" si="33"/>
        <v>20.1567632</v>
      </c>
      <c r="K124" s="26">
        <f t="shared" si="21"/>
        <v>23.784980576</v>
      </c>
    </row>
    <row r="125" spans="1:11" ht="60">
      <c r="A125" s="32" t="s">
        <v>96</v>
      </c>
      <c r="B125" s="33" t="s">
        <v>97</v>
      </c>
      <c r="C125" s="24" t="s">
        <v>19</v>
      </c>
      <c r="D125" s="24">
        <v>4.2</v>
      </c>
      <c r="E125" s="22">
        <v>0.432</v>
      </c>
      <c r="F125" s="26">
        <v>216.8</v>
      </c>
      <c r="G125" s="26">
        <f t="shared" si="31"/>
        <v>93.6576</v>
      </c>
      <c r="H125" s="26">
        <f t="shared" si="34"/>
        <v>28.3782528</v>
      </c>
      <c r="I125" s="26">
        <f t="shared" si="32"/>
        <v>28.09728</v>
      </c>
      <c r="J125" s="26">
        <f t="shared" si="33"/>
        <v>150.1331328</v>
      </c>
      <c r="K125" s="26">
        <f t="shared" si="21"/>
        <v>177.157096704</v>
      </c>
    </row>
    <row r="126" spans="1:11" ht="60" hidden="1">
      <c r="A126" s="22" t="s">
        <v>0</v>
      </c>
      <c r="B126" s="22" t="s">
        <v>1</v>
      </c>
      <c r="C126" s="22" t="s">
        <v>2</v>
      </c>
      <c r="D126" s="23" t="s">
        <v>3</v>
      </c>
      <c r="E126" s="23" t="s">
        <v>4</v>
      </c>
      <c r="F126" s="26">
        <v>216.8</v>
      </c>
      <c r="G126" s="23" t="s">
        <v>6</v>
      </c>
      <c r="H126" s="23" t="s">
        <v>209</v>
      </c>
      <c r="I126" s="23" t="s">
        <v>7</v>
      </c>
      <c r="J126" s="23" t="s">
        <v>8</v>
      </c>
      <c r="K126" s="26" t="e">
        <f t="shared" si="21"/>
        <v>#VALUE!</v>
      </c>
    </row>
    <row r="127" spans="1:11" ht="15" hidden="1">
      <c r="A127" s="22">
        <v>1</v>
      </c>
      <c r="B127" s="22">
        <v>2</v>
      </c>
      <c r="C127" s="22">
        <v>3</v>
      </c>
      <c r="D127" s="23">
        <v>4</v>
      </c>
      <c r="E127" s="23">
        <v>5</v>
      </c>
      <c r="F127" s="26">
        <v>216.8</v>
      </c>
      <c r="G127" s="23">
        <v>7</v>
      </c>
      <c r="H127" s="23">
        <v>8</v>
      </c>
      <c r="I127" s="23">
        <v>9</v>
      </c>
      <c r="J127" s="23">
        <v>10</v>
      </c>
      <c r="K127" s="26">
        <f t="shared" si="21"/>
        <v>11.799999999999999</v>
      </c>
    </row>
    <row r="128" spans="1:11" ht="15" hidden="1">
      <c r="A128" s="32"/>
      <c r="B128" s="33"/>
      <c r="C128" s="24"/>
      <c r="D128" s="24"/>
      <c r="E128" s="22"/>
      <c r="F128" s="26">
        <v>216.8</v>
      </c>
      <c r="G128" s="26"/>
      <c r="H128" s="26"/>
      <c r="I128" s="26"/>
      <c r="J128" s="26"/>
      <c r="K128" s="26">
        <f t="shared" si="21"/>
        <v>0</v>
      </c>
    </row>
    <row r="129" spans="1:11" ht="30.75" customHeight="1">
      <c r="A129" s="32" t="s">
        <v>268</v>
      </c>
      <c r="B129" s="33" t="s">
        <v>97</v>
      </c>
      <c r="C129" s="24" t="s">
        <v>19</v>
      </c>
      <c r="D129" s="24">
        <v>4.2</v>
      </c>
      <c r="E129" s="22">
        <v>1</v>
      </c>
      <c r="F129" s="26">
        <v>216.8</v>
      </c>
      <c r="G129" s="26">
        <f>F129*E129</f>
        <v>216.8</v>
      </c>
      <c r="H129" s="26">
        <f>G129*30.3/100</f>
        <v>65.69040000000001</v>
      </c>
      <c r="I129" s="26">
        <f>G129*30/100</f>
        <v>65.04</v>
      </c>
      <c r="J129" s="26">
        <f>G129+H129+I129</f>
        <v>347.53040000000004</v>
      </c>
      <c r="K129" s="26">
        <f t="shared" si="21"/>
        <v>410.08587200000005</v>
      </c>
    </row>
    <row r="130" spans="1:11" ht="30">
      <c r="A130" s="32" t="s">
        <v>98</v>
      </c>
      <c r="B130" s="33" t="s">
        <v>99</v>
      </c>
      <c r="C130" s="24" t="s">
        <v>19</v>
      </c>
      <c r="D130" s="24">
        <v>4</v>
      </c>
      <c r="E130" s="22">
        <v>0.891</v>
      </c>
      <c r="F130" s="26">
        <v>216.8</v>
      </c>
      <c r="G130" s="26">
        <f t="shared" si="31"/>
        <v>193.1688</v>
      </c>
      <c r="H130" s="26">
        <f>G130*30.3/100</f>
        <v>58.53014640000001</v>
      </c>
      <c r="I130" s="26">
        <f t="shared" si="32"/>
        <v>57.95064</v>
      </c>
      <c r="J130" s="26">
        <f t="shared" si="33"/>
        <v>309.64958640000003</v>
      </c>
      <c r="K130" s="26">
        <f t="shared" si="21"/>
        <v>365.38651195200003</v>
      </c>
    </row>
    <row r="131" spans="1:11" ht="45">
      <c r="A131" s="32" t="s">
        <v>100</v>
      </c>
      <c r="B131" s="33" t="s">
        <v>101</v>
      </c>
      <c r="C131" s="22" t="s">
        <v>19</v>
      </c>
      <c r="D131" s="24">
        <v>4</v>
      </c>
      <c r="E131" s="22">
        <v>1.633</v>
      </c>
      <c r="F131" s="26">
        <v>216.8</v>
      </c>
      <c r="G131" s="26">
        <f t="shared" si="31"/>
        <v>354.0344</v>
      </c>
      <c r="H131" s="26">
        <f aca="true" t="shared" si="35" ref="H131:H141">G131*30.3/100</f>
        <v>107.2724232</v>
      </c>
      <c r="I131" s="26">
        <f t="shared" si="32"/>
        <v>106.21032</v>
      </c>
      <c r="J131" s="26">
        <f t="shared" si="33"/>
        <v>567.5171432</v>
      </c>
      <c r="K131" s="26">
        <f t="shared" si="21"/>
        <v>669.670228976</v>
      </c>
    </row>
    <row r="132" spans="1:11" ht="30">
      <c r="A132" s="32" t="s">
        <v>102</v>
      </c>
      <c r="B132" s="33" t="s">
        <v>103</v>
      </c>
      <c r="C132" s="24" t="s">
        <v>19</v>
      </c>
      <c r="D132" s="24">
        <v>3.9</v>
      </c>
      <c r="E132" s="22">
        <v>2.56</v>
      </c>
      <c r="F132" s="26">
        <v>216.8</v>
      </c>
      <c r="G132" s="26">
        <f t="shared" si="31"/>
        <v>555.008</v>
      </c>
      <c r="H132" s="26">
        <f t="shared" si="35"/>
        <v>168.16742400000004</v>
      </c>
      <c r="I132" s="26">
        <f t="shared" si="32"/>
        <v>166.50240000000002</v>
      </c>
      <c r="J132" s="26">
        <f t="shared" si="33"/>
        <v>889.6778240000001</v>
      </c>
      <c r="K132" s="26">
        <f t="shared" si="21"/>
        <v>1049.8198323200002</v>
      </c>
    </row>
    <row r="133" spans="1:11" ht="30">
      <c r="A133" s="32" t="s">
        <v>110</v>
      </c>
      <c r="B133" s="33" t="s">
        <v>111</v>
      </c>
      <c r="C133" s="24" t="s">
        <v>19</v>
      </c>
      <c r="D133" s="24">
        <v>4.2</v>
      </c>
      <c r="E133" s="22">
        <v>1.14</v>
      </c>
      <c r="F133" s="26">
        <v>216.8</v>
      </c>
      <c r="G133" s="26">
        <f t="shared" si="31"/>
        <v>247.152</v>
      </c>
      <c r="H133" s="26">
        <f t="shared" si="35"/>
        <v>74.88705599999999</v>
      </c>
      <c r="I133" s="26">
        <f t="shared" si="32"/>
        <v>74.1456</v>
      </c>
      <c r="J133" s="26">
        <f t="shared" si="33"/>
        <v>396.18465599999996</v>
      </c>
      <c r="K133" s="26">
        <f t="shared" si="21"/>
        <v>467.4978940799999</v>
      </c>
    </row>
    <row r="134" spans="1:11" ht="30">
      <c r="A134" s="32" t="s">
        <v>113</v>
      </c>
      <c r="B134" s="33" t="s">
        <v>114</v>
      </c>
      <c r="C134" s="24" t="s">
        <v>112</v>
      </c>
      <c r="D134" s="24">
        <v>2</v>
      </c>
      <c r="E134" s="22">
        <v>0.396</v>
      </c>
      <c r="F134" s="26">
        <v>216.8</v>
      </c>
      <c r="G134" s="26">
        <f t="shared" si="31"/>
        <v>85.8528</v>
      </c>
      <c r="H134" s="26">
        <f t="shared" si="35"/>
        <v>26.0133984</v>
      </c>
      <c r="I134" s="26">
        <f t="shared" si="32"/>
        <v>25.75584</v>
      </c>
      <c r="J134" s="26">
        <f t="shared" si="33"/>
        <v>137.6220384</v>
      </c>
      <c r="K134" s="26">
        <f t="shared" si="21"/>
        <v>162.394005312</v>
      </c>
    </row>
    <row r="135" spans="1:11" ht="45">
      <c r="A135" s="32" t="s">
        <v>115</v>
      </c>
      <c r="B135" s="33" t="s">
        <v>116</v>
      </c>
      <c r="C135" s="22" t="s">
        <v>112</v>
      </c>
      <c r="D135" s="24">
        <v>4.2</v>
      </c>
      <c r="E135" s="22">
        <v>0.88</v>
      </c>
      <c r="F135" s="26">
        <v>216.8</v>
      </c>
      <c r="G135" s="26">
        <f t="shared" si="31"/>
        <v>190.78400000000002</v>
      </c>
      <c r="H135" s="26">
        <f t="shared" si="35"/>
        <v>57.80755200000001</v>
      </c>
      <c r="I135" s="26">
        <f t="shared" si="32"/>
        <v>57.235200000000006</v>
      </c>
      <c r="J135" s="26">
        <f t="shared" si="33"/>
        <v>305.82675200000006</v>
      </c>
      <c r="K135" s="26">
        <f t="shared" si="21"/>
        <v>360.87556736000005</v>
      </c>
    </row>
    <row r="136" spans="1:11" ht="30">
      <c r="A136" s="32" t="s">
        <v>120</v>
      </c>
      <c r="B136" s="33" t="s">
        <v>117</v>
      </c>
      <c r="C136" s="24" t="s">
        <v>112</v>
      </c>
      <c r="D136" s="24">
        <v>4</v>
      </c>
      <c r="E136" s="22">
        <v>0.873</v>
      </c>
      <c r="F136" s="26">
        <v>216.8</v>
      </c>
      <c r="G136" s="26">
        <f t="shared" si="31"/>
        <v>189.2664</v>
      </c>
      <c r="H136" s="26">
        <f t="shared" si="35"/>
        <v>57.3477192</v>
      </c>
      <c r="I136" s="26">
        <f t="shared" si="32"/>
        <v>56.779920000000004</v>
      </c>
      <c r="J136" s="26">
        <f t="shared" si="33"/>
        <v>303.3940392</v>
      </c>
      <c r="K136" s="26">
        <f t="shared" si="21"/>
        <v>358.004966256</v>
      </c>
    </row>
    <row r="137" spans="1:11" ht="30">
      <c r="A137" s="37" t="s">
        <v>118</v>
      </c>
      <c r="B137" s="33" t="s">
        <v>119</v>
      </c>
      <c r="C137" s="24" t="s">
        <v>112</v>
      </c>
      <c r="D137" s="24">
        <v>3</v>
      </c>
      <c r="E137" s="22">
        <v>0.257</v>
      </c>
      <c r="F137" s="26">
        <v>216.8</v>
      </c>
      <c r="G137" s="26">
        <f t="shared" si="31"/>
        <v>55.717600000000004</v>
      </c>
      <c r="H137" s="26">
        <f t="shared" si="35"/>
        <v>16.8824328</v>
      </c>
      <c r="I137" s="26">
        <f t="shared" si="32"/>
        <v>16.715280000000003</v>
      </c>
      <c r="J137" s="26">
        <f t="shared" si="33"/>
        <v>89.31531280000002</v>
      </c>
      <c r="K137" s="26">
        <f t="shared" si="21"/>
        <v>105.39206910400002</v>
      </c>
    </row>
    <row r="138" spans="1:11" ht="30">
      <c r="A138" s="37" t="s">
        <v>121</v>
      </c>
      <c r="B138" s="33" t="s">
        <v>122</v>
      </c>
      <c r="C138" s="24" t="s">
        <v>112</v>
      </c>
      <c r="D138" s="24">
        <v>4.2</v>
      </c>
      <c r="E138" s="22">
        <v>0.34</v>
      </c>
      <c r="F138" s="26">
        <v>216.8</v>
      </c>
      <c r="G138" s="26">
        <f t="shared" si="31"/>
        <v>73.712</v>
      </c>
      <c r="H138" s="26">
        <f t="shared" si="35"/>
        <v>22.334736000000003</v>
      </c>
      <c r="I138" s="26">
        <f t="shared" si="32"/>
        <v>22.1136</v>
      </c>
      <c r="J138" s="26">
        <f t="shared" si="33"/>
        <v>118.16033600000002</v>
      </c>
      <c r="K138" s="26">
        <f t="shared" si="21"/>
        <v>139.42919648</v>
      </c>
    </row>
    <row r="139" spans="1:11" ht="45">
      <c r="A139" s="32" t="s">
        <v>123</v>
      </c>
      <c r="B139" s="33" t="s">
        <v>124</v>
      </c>
      <c r="C139" s="22" t="s">
        <v>88</v>
      </c>
      <c r="D139" s="24">
        <v>3.8</v>
      </c>
      <c r="E139" s="22">
        <v>23.8</v>
      </c>
      <c r="F139" s="26">
        <v>216.8</v>
      </c>
      <c r="G139" s="26">
        <f t="shared" si="31"/>
        <v>5159.84</v>
      </c>
      <c r="H139" s="26">
        <f t="shared" si="35"/>
        <v>1563.43152</v>
      </c>
      <c r="I139" s="26">
        <f t="shared" si="32"/>
        <v>1547.9520000000002</v>
      </c>
      <c r="J139" s="26">
        <f t="shared" si="33"/>
        <v>8271.22352</v>
      </c>
      <c r="K139" s="26">
        <f t="shared" si="21"/>
        <v>9760.043753599999</v>
      </c>
    </row>
    <row r="140" spans="1:11" ht="45">
      <c r="A140" s="32" t="s">
        <v>123</v>
      </c>
      <c r="B140" s="33" t="s">
        <v>124</v>
      </c>
      <c r="C140" s="22" t="s">
        <v>85</v>
      </c>
      <c r="D140" s="24">
        <v>3.8</v>
      </c>
      <c r="E140" s="22">
        <v>0.238</v>
      </c>
      <c r="F140" s="26">
        <v>216.8</v>
      </c>
      <c r="G140" s="26">
        <f>F140*E140</f>
        <v>51.5984</v>
      </c>
      <c r="H140" s="26">
        <f t="shared" si="35"/>
        <v>15.634315199999998</v>
      </c>
      <c r="I140" s="26">
        <f>G140*30/100</f>
        <v>15.47952</v>
      </c>
      <c r="J140" s="26">
        <f>G140+H140+I140</f>
        <v>82.71223520000001</v>
      </c>
      <c r="K140" s="26">
        <f t="shared" si="21"/>
        <v>97.600437536</v>
      </c>
    </row>
    <row r="141" spans="1:11" ht="30">
      <c r="A141" s="32" t="s">
        <v>125</v>
      </c>
      <c r="B141" s="33" t="s">
        <v>126</v>
      </c>
      <c r="C141" s="24" t="s">
        <v>112</v>
      </c>
      <c r="D141" s="24">
        <v>4.2</v>
      </c>
      <c r="E141" s="22">
        <v>0.765</v>
      </c>
      <c r="F141" s="26">
        <v>216.8</v>
      </c>
      <c r="G141" s="26">
        <f>F141*E141</f>
        <v>165.852</v>
      </c>
      <c r="H141" s="26">
        <f t="shared" si="35"/>
        <v>50.253156</v>
      </c>
      <c r="I141" s="26">
        <f>G141*30/100</f>
        <v>49.7556</v>
      </c>
      <c r="J141" s="26">
        <f>G141+H141+I141</f>
        <v>265.860756</v>
      </c>
      <c r="K141" s="26">
        <f aca="true" t="shared" si="36" ref="K141:K170">J141*1.18</f>
        <v>313.71569207999994</v>
      </c>
    </row>
    <row r="142" spans="1:11" ht="15" hidden="1">
      <c r="A142" s="54" t="s">
        <v>211</v>
      </c>
      <c r="B142" s="55"/>
      <c r="C142" s="55"/>
      <c r="D142" s="55"/>
      <c r="E142" s="55"/>
      <c r="F142" s="55"/>
      <c r="G142" s="55"/>
      <c r="H142" s="55"/>
      <c r="I142" s="55"/>
      <c r="J142" s="56"/>
      <c r="K142" s="26">
        <f t="shared" si="36"/>
        <v>0</v>
      </c>
    </row>
    <row r="143" spans="1:11" ht="15" hidden="1">
      <c r="A143" s="32" t="s">
        <v>128</v>
      </c>
      <c r="B143" s="21"/>
      <c r="C143" s="33" t="s">
        <v>129</v>
      </c>
      <c r="D143" s="24">
        <v>3</v>
      </c>
      <c r="E143" s="24">
        <v>0.5</v>
      </c>
      <c r="F143" s="24">
        <v>234.02</v>
      </c>
      <c r="G143" s="34">
        <f aca="true" t="shared" si="37" ref="G143:G170">F143*E143</f>
        <v>117.01</v>
      </c>
      <c r="H143" s="34">
        <f aca="true" t="shared" si="38" ref="H143:H148">G143*30.3/100</f>
        <v>35.45403</v>
      </c>
      <c r="I143" s="34">
        <f aca="true" t="shared" si="39" ref="I143:I170">G143*30/100</f>
        <v>35.103</v>
      </c>
      <c r="J143" s="34">
        <f aca="true" t="shared" si="40" ref="J143:J170">G143+H143+I143</f>
        <v>187.56703000000002</v>
      </c>
      <c r="K143" s="26">
        <f t="shared" si="36"/>
        <v>221.3290954</v>
      </c>
    </row>
    <row r="144" spans="1:11" ht="15" hidden="1">
      <c r="A144" s="32" t="s">
        <v>130</v>
      </c>
      <c r="B144" s="33"/>
      <c r="C144" s="24" t="s">
        <v>112</v>
      </c>
      <c r="D144" s="24">
        <v>3</v>
      </c>
      <c r="E144" s="24">
        <v>0.117</v>
      </c>
      <c r="F144" s="24">
        <v>234.02</v>
      </c>
      <c r="G144" s="34">
        <f t="shared" si="37"/>
        <v>27.380340000000004</v>
      </c>
      <c r="H144" s="34">
        <f t="shared" si="38"/>
        <v>8.296243020000002</v>
      </c>
      <c r="I144" s="34">
        <f t="shared" si="39"/>
        <v>8.214102000000002</v>
      </c>
      <c r="J144" s="34">
        <f t="shared" si="40"/>
        <v>43.890685020000014</v>
      </c>
      <c r="K144" s="26">
        <f t="shared" si="36"/>
        <v>51.79100832360001</v>
      </c>
    </row>
    <row r="145" spans="1:11" ht="15" hidden="1">
      <c r="A145" s="32" t="s">
        <v>131</v>
      </c>
      <c r="B145" s="33"/>
      <c r="C145" s="24" t="s">
        <v>112</v>
      </c>
      <c r="D145" s="24">
        <v>3</v>
      </c>
      <c r="E145" s="24">
        <v>0.083</v>
      </c>
      <c r="F145" s="24">
        <v>234.02</v>
      </c>
      <c r="G145" s="34">
        <f t="shared" si="37"/>
        <v>19.42366</v>
      </c>
      <c r="H145" s="34">
        <f t="shared" si="38"/>
        <v>5.885368980000001</v>
      </c>
      <c r="I145" s="34">
        <f t="shared" si="39"/>
        <v>5.827098000000001</v>
      </c>
      <c r="J145" s="34">
        <f t="shared" si="40"/>
        <v>31.13612698</v>
      </c>
      <c r="K145" s="26">
        <f t="shared" si="36"/>
        <v>36.7406298364</v>
      </c>
    </row>
    <row r="146" spans="1:11" ht="30" hidden="1">
      <c r="A146" s="32" t="s">
        <v>132</v>
      </c>
      <c r="B146" s="33"/>
      <c r="C146" s="24" t="s">
        <v>112</v>
      </c>
      <c r="D146" s="24">
        <v>3</v>
      </c>
      <c r="E146" s="24">
        <v>0.5</v>
      </c>
      <c r="F146" s="24">
        <v>234.02</v>
      </c>
      <c r="G146" s="34">
        <f t="shared" si="37"/>
        <v>117.01</v>
      </c>
      <c r="H146" s="34">
        <f t="shared" si="38"/>
        <v>35.45403</v>
      </c>
      <c r="I146" s="34">
        <f t="shared" si="39"/>
        <v>35.103</v>
      </c>
      <c r="J146" s="34">
        <f t="shared" si="40"/>
        <v>187.56703000000002</v>
      </c>
      <c r="K146" s="26">
        <f t="shared" si="36"/>
        <v>221.3290954</v>
      </c>
    </row>
    <row r="147" spans="1:11" ht="30" hidden="1">
      <c r="A147" s="32" t="s">
        <v>133</v>
      </c>
      <c r="B147" s="33"/>
      <c r="C147" s="24" t="s">
        <v>112</v>
      </c>
      <c r="D147" s="24">
        <v>3</v>
      </c>
      <c r="E147" s="24">
        <v>0.3</v>
      </c>
      <c r="F147" s="24">
        <v>234.02</v>
      </c>
      <c r="G147" s="34">
        <f t="shared" si="37"/>
        <v>70.206</v>
      </c>
      <c r="H147" s="34">
        <f t="shared" si="38"/>
        <v>21.272418000000002</v>
      </c>
      <c r="I147" s="34">
        <f t="shared" si="39"/>
        <v>21.0618</v>
      </c>
      <c r="J147" s="34">
        <f t="shared" si="40"/>
        <v>112.54021800000001</v>
      </c>
      <c r="K147" s="26">
        <f t="shared" si="36"/>
        <v>132.79745724</v>
      </c>
    </row>
    <row r="148" spans="1:11" ht="30" hidden="1">
      <c r="A148" s="32" t="s">
        <v>134</v>
      </c>
      <c r="B148" s="33"/>
      <c r="C148" s="33" t="s">
        <v>135</v>
      </c>
      <c r="D148" s="24">
        <v>3</v>
      </c>
      <c r="E148" s="24">
        <v>2.16</v>
      </c>
      <c r="F148" s="24">
        <v>234.02</v>
      </c>
      <c r="G148" s="34">
        <f t="shared" si="37"/>
        <v>505.48320000000007</v>
      </c>
      <c r="H148" s="34">
        <f t="shared" si="38"/>
        <v>153.1614096</v>
      </c>
      <c r="I148" s="34">
        <f t="shared" si="39"/>
        <v>151.64496000000003</v>
      </c>
      <c r="J148" s="34">
        <f t="shared" si="40"/>
        <v>810.2895696</v>
      </c>
      <c r="K148" s="26">
        <f t="shared" si="36"/>
        <v>956.141692128</v>
      </c>
    </row>
    <row r="149" spans="1:11" ht="15">
      <c r="A149" s="54" t="s">
        <v>136</v>
      </c>
      <c r="B149" s="55"/>
      <c r="C149" s="55"/>
      <c r="D149" s="55"/>
      <c r="E149" s="55"/>
      <c r="F149" s="55"/>
      <c r="G149" s="55"/>
      <c r="H149" s="55"/>
      <c r="I149" s="55"/>
      <c r="J149" s="56"/>
      <c r="K149" s="26"/>
    </row>
    <row r="150" spans="1:11" ht="30">
      <c r="A150" s="32" t="s">
        <v>137</v>
      </c>
      <c r="B150" s="33" t="s">
        <v>138</v>
      </c>
      <c r="C150" s="24" t="s">
        <v>112</v>
      </c>
      <c r="D150" s="24">
        <v>3</v>
      </c>
      <c r="E150" s="22">
        <v>0.88</v>
      </c>
      <c r="F150" s="26">
        <v>216.8</v>
      </c>
      <c r="G150" s="26">
        <f t="shared" si="37"/>
        <v>190.78400000000002</v>
      </c>
      <c r="H150" s="26">
        <f>G150*30.3/100</f>
        <v>57.80755200000001</v>
      </c>
      <c r="I150" s="26">
        <f t="shared" si="39"/>
        <v>57.235200000000006</v>
      </c>
      <c r="J150" s="26">
        <f t="shared" si="40"/>
        <v>305.82675200000006</v>
      </c>
      <c r="K150" s="26">
        <f t="shared" si="36"/>
        <v>360.87556736000005</v>
      </c>
    </row>
    <row r="151" spans="1:11" ht="30">
      <c r="A151" s="32" t="s">
        <v>139</v>
      </c>
      <c r="B151" s="33" t="s">
        <v>140</v>
      </c>
      <c r="C151" s="24" t="s">
        <v>112</v>
      </c>
      <c r="D151" s="24">
        <v>3</v>
      </c>
      <c r="E151" s="22">
        <v>1.28</v>
      </c>
      <c r="F151" s="26">
        <v>216.8</v>
      </c>
      <c r="G151" s="26">
        <f t="shared" si="37"/>
        <v>277.504</v>
      </c>
      <c r="H151" s="26">
        <f aca="true" t="shared" si="41" ref="H151:H158">G151*30.3/100</f>
        <v>84.08371200000002</v>
      </c>
      <c r="I151" s="26">
        <f t="shared" si="39"/>
        <v>83.25120000000001</v>
      </c>
      <c r="J151" s="26">
        <f t="shared" si="40"/>
        <v>444.83891200000005</v>
      </c>
      <c r="K151" s="26">
        <f t="shared" si="36"/>
        <v>524.9099161600001</v>
      </c>
    </row>
    <row r="152" spans="1:11" ht="30">
      <c r="A152" s="32" t="s">
        <v>294</v>
      </c>
      <c r="B152" s="33" t="s">
        <v>142</v>
      </c>
      <c r="C152" s="24" t="s">
        <v>112</v>
      </c>
      <c r="D152" s="24">
        <v>3</v>
      </c>
      <c r="E152" s="22">
        <v>0.3</v>
      </c>
      <c r="F152" s="26">
        <v>216.8</v>
      </c>
      <c r="G152" s="26">
        <f t="shared" si="37"/>
        <v>65.04</v>
      </c>
      <c r="H152" s="26">
        <f t="shared" si="41"/>
        <v>19.707120000000003</v>
      </c>
      <c r="I152" s="26">
        <f t="shared" si="39"/>
        <v>19.512000000000004</v>
      </c>
      <c r="J152" s="26">
        <f t="shared" si="40"/>
        <v>104.25912000000001</v>
      </c>
      <c r="K152" s="26">
        <f t="shared" si="36"/>
        <v>123.02576160000001</v>
      </c>
    </row>
    <row r="153" spans="1:11" ht="30">
      <c r="A153" s="37" t="s">
        <v>143</v>
      </c>
      <c r="B153" s="33" t="s">
        <v>144</v>
      </c>
      <c r="C153" s="24" t="s">
        <v>112</v>
      </c>
      <c r="D153" s="24">
        <v>3</v>
      </c>
      <c r="E153" s="22">
        <v>0.39</v>
      </c>
      <c r="F153" s="26">
        <v>216.8</v>
      </c>
      <c r="G153" s="26">
        <f t="shared" si="37"/>
        <v>84.552</v>
      </c>
      <c r="H153" s="26">
        <f t="shared" si="41"/>
        <v>25.619256000000004</v>
      </c>
      <c r="I153" s="26">
        <f t="shared" si="39"/>
        <v>25.365600000000004</v>
      </c>
      <c r="J153" s="26">
        <f t="shared" si="40"/>
        <v>135.53685600000003</v>
      </c>
      <c r="K153" s="26">
        <f t="shared" si="36"/>
        <v>159.93349008</v>
      </c>
    </row>
    <row r="154" spans="1:11" ht="30">
      <c r="A154" s="32" t="s">
        <v>145</v>
      </c>
      <c r="B154" s="33" t="s">
        <v>146</v>
      </c>
      <c r="C154" s="24" t="s">
        <v>112</v>
      </c>
      <c r="D154" s="24">
        <v>3</v>
      </c>
      <c r="E154" s="22">
        <v>3.99</v>
      </c>
      <c r="F154" s="26">
        <v>216.8</v>
      </c>
      <c r="G154" s="26">
        <f t="shared" si="37"/>
        <v>865.032</v>
      </c>
      <c r="H154" s="26">
        <f t="shared" si="41"/>
        <v>262.104696</v>
      </c>
      <c r="I154" s="26">
        <f t="shared" si="39"/>
        <v>259.50960000000003</v>
      </c>
      <c r="J154" s="26">
        <f t="shared" si="40"/>
        <v>1386.6462960000001</v>
      </c>
      <c r="K154" s="26">
        <f t="shared" si="36"/>
        <v>1636.24262928</v>
      </c>
    </row>
    <row r="155" spans="1:11" ht="45">
      <c r="A155" s="38" t="s">
        <v>147</v>
      </c>
      <c r="B155" s="33" t="s">
        <v>148</v>
      </c>
      <c r="C155" s="23" t="s">
        <v>149</v>
      </c>
      <c r="D155" s="24">
        <v>3.3</v>
      </c>
      <c r="E155" s="22">
        <v>2.21</v>
      </c>
      <c r="F155" s="26">
        <v>216.8</v>
      </c>
      <c r="G155" s="26">
        <f t="shared" si="37"/>
        <v>479.12800000000004</v>
      </c>
      <c r="H155" s="26">
        <f t="shared" si="41"/>
        <v>145.17578400000002</v>
      </c>
      <c r="I155" s="26">
        <f t="shared" si="39"/>
        <v>143.7384</v>
      </c>
      <c r="J155" s="26">
        <f t="shared" si="40"/>
        <v>768.0421840000001</v>
      </c>
      <c r="K155" s="26">
        <f t="shared" si="36"/>
        <v>906.28977712</v>
      </c>
    </row>
    <row r="156" spans="1:11" ht="30">
      <c r="A156" s="32" t="s">
        <v>150</v>
      </c>
      <c r="B156" s="23" t="s">
        <v>151</v>
      </c>
      <c r="C156" s="22" t="s">
        <v>112</v>
      </c>
      <c r="D156" s="24">
        <v>4</v>
      </c>
      <c r="E156" s="22">
        <v>0.5</v>
      </c>
      <c r="F156" s="26">
        <v>216.8</v>
      </c>
      <c r="G156" s="26">
        <f t="shared" si="37"/>
        <v>108.4</v>
      </c>
      <c r="H156" s="26">
        <f t="shared" si="41"/>
        <v>32.845200000000006</v>
      </c>
      <c r="I156" s="26">
        <f t="shared" si="39"/>
        <v>32.52</v>
      </c>
      <c r="J156" s="26">
        <f t="shared" si="40"/>
        <v>173.76520000000002</v>
      </c>
      <c r="K156" s="26">
        <f t="shared" si="36"/>
        <v>205.04293600000003</v>
      </c>
    </row>
    <row r="157" spans="1:11" ht="30">
      <c r="A157" s="32" t="s">
        <v>156</v>
      </c>
      <c r="B157" s="23" t="s">
        <v>152</v>
      </c>
      <c r="C157" s="22" t="s">
        <v>153</v>
      </c>
      <c r="D157" s="22">
        <v>4</v>
      </c>
      <c r="E157" s="22">
        <v>5.87</v>
      </c>
      <c r="F157" s="26">
        <v>216.8</v>
      </c>
      <c r="G157" s="26">
        <f t="shared" si="37"/>
        <v>1272.616</v>
      </c>
      <c r="H157" s="26">
        <f t="shared" si="41"/>
        <v>385.602648</v>
      </c>
      <c r="I157" s="26">
        <f t="shared" si="39"/>
        <v>381.78479999999996</v>
      </c>
      <c r="J157" s="26">
        <f t="shared" si="40"/>
        <v>2040.003448</v>
      </c>
      <c r="K157" s="26">
        <f t="shared" si="36"/>
        <v>2407.2040686399996</v>
      </c>
    </row>
    <row r="158" spans="1:11" ht="45">
      <c r="A158" s="25" t="s">
        <v>154</v>
      </c>
      <c r="B158" s="33" t="s">
        <v>155</v>
      </c>
      <c r="C158" s="22" t="s">
        <v>52</v>
      </c>
      <c r="D158" s="22">
        <v>2.5</v>
      </c>
      <c r="E158" s="22">
        <v>1.74</v>
      </c>
      <c r="F158" s="26">
        <v>216.8</v>
      </c>
      <c r="G158" s="26">
        <f t="shared" si="37"/>
        <v>377.232</v>
      </c>
      <c r="H158" s="26">
        <f t="shared" si="41"/>
        <v>114.30129600000001</v>
      </c>
      <c r="I158" s="26">
        <f t="shared" si="39"/>
        <v>113.1696</v>
      </c>
      <c r="J158" s="26">
        <f t="shared" si="40"/>
        <v>604.702896</v>
      </c>
      <c r="K158" s="26">
        <f t="shared" si="36"/>
        <v>713.54941728</v>
      </c>
    </row>
    <row r="159" spans="1:11" ht="60" hidden="1">
      <c r="A159" s="27" t="s">
        <v>0</v>
      </c>
      <c r="B159" s="22" t="s">
        <v>1</v>
      </c>
      <c r="C159" s="22" t="s">
        <v>2</v>
      </c>
      <c r="D159" s="23" t="s">
        <v>3</v>
      </c>
      <c r="E159" s="23" t="s">
        <v>4</v>
      </c>
      <c r="F159" s="26">
        <v>216.8</v>
      </c>
      <c r="G159" s="23" t="s">
        <v>6</v>
      </c>
      <c r="H159" s="23" t="s">
        <v>209</v>
      </c>
      <c r="I159" s="23" t="s">
        <v>7</v>
      </c>
      <c r="J159" s="23" t="s">
        <v>8</v>
      </c>
      <c r="K159" s="26" t="e">
        <f t="shared" si="36"/>
        <v>#VALUE!</v>
      </c>
    </row>
    <row r="160" spans="1:11" ht="15" hidden="1">
      <c r="A160" s="27">
        <v>1</v>
      </c>
      <c r="B160" s="22">
        <v>2</v>
      </c>
      <c r="C160" s="22">
        <v>3</v>
      </c>
      <c r="D160" s="23">
        <v>4</v>
      </c>
      <c r="E160" s="23">
        <v>5</v>
      </c>
      <c r="F160" s="26">
        <v>216.8</v>
      </c>
      <c r="G160" s="23">
        <v>7</v>
      </c>
      <c r="H160" s="23">
        <v>8</v>
      </c>
      <c r="I160" s="23">
        <v>9</v>
      </c>
      <c r="J160" s="23">
        <v>10</v>
      </c>
      <c r="K160" s="26">
        <f t="shared" si="36"/>
        <v>11.799999999999999</v>
      </c>
    </row>
    <row r="161" spans="1:11" ht="75">
      <c r="A161" s="25" t="s">
        <v>157</v>
      </c>
      <c r="B161" s="33" t="s">
        <v>158</v>
      </c>
      <c r="C161" s="22" t="s">
        <v>153</v>
      </c>
      <c r="D161" s="22">
        <v>3.6</v>
      </c>
      <c r="E161" s="22">
        <v>5.05</v>
      </c>
      <c r="F161" s="26">
        <v>216.8</v>
      </c>
      <c r="G161" s="26">
        <f t="shared" si="37"/>
        <v>1094.84</v>
      </c>
      <c r="H161" s="26">
        <f aca="true" t="shared" si="42" ref="H161:H166">G161*30.3/100</f>
        <v>331.73652000000004</v>
      </c>
      <c r="I161" s="26">
        <f t="shared" si="39"/>
        <v>328.452</v>
      </c>
      <c r="J161" s="26">
        <f t="shared" si="40"/>
        <v>1755.02852</v>
      </c>
      <c r="K161" s="26">
        <f t="shared" si="36"/>
        <v>2070.9336536</v>
      </c>
    </row>
    <row r="162" spans="1:11" ht="60">
      <c r="A162" s="25" t="s">
        <v>159</v>
      </c>
      <c r="B162" s="33" t="s">
        <v>160</v>
      </c>
      <c r="C162" s="22" t="s">
        <v>153</v>
      </c>
      <c r="D162" s="22">
        <v>3.6</v>
      </c>
      <c r="E162" s="22">
        <v>2.08</v>
      </c>
      <c r="F162" s="26">
        <v>216.8</v>
      </c>
      <c r="G162" s="26">
        <f t="shared" si="37"/>
        <v>450.944</v>
      </c>
      <c r="H162" s="26">
        <f t="shared" si="42"/>
        <v>136.636032</v>
      </c>
      <c r="I162" s="26">
        <f t="shared" si="39"/>
        <v>135.2832</v>
      </c>
      <c r="J162" s="26">
        <f t="shared" si="40"/>
        <v>722.863232</v>
      </c>
      <c r="K162" s="26">
        <f t="shared" si="36"/>
        <v>852.97861376</v>
      </c>
    </row>
    <row r="163" spans="1:11" ht="60">
      <c r="A163" s="25" t="s">
        <v>161</v>
      </c>
      <c r="B163" s="33" t="s">
        <v>162</v>
      </c>
      <c r="C163" s="22" t="s">
        <v>153</v>
      </c>
      <c r="D163" s="22">
        <v>3.4</v>
      </c>
      <c r="E163" s="22">
        <v>2.19</v>
      </c>
      <c r="F163" s="26">
        <v>216.8</v>
      </c>
      <c r="G163" s="26">
        <f t="shared" si="37"/>
        <v>474.79200000000003</v>
      </c>
      <c r="H163" s="26">
        <f t="shared" si="42"/>
        <v>143.86197600000003</v>
      </c>
      <c r="I163" s="26">
        <f t="shared" si="39"/>
        <v>142.4376</v>
      </c>
      <c r="J163" s="26">
        <f t="shared" si="40"/>
        <v>761.091576</v>
      </c>
      <c r="K163" s="26">
        <f t="shared" si="36"/>
        <v>898.08805968</v>
      </c>
    </row>
    <row r="164" spans="1:11" ht="30">
      <c r="A164" s="25" t="s">
        <v>163</v>
      </c>
      <c r="B164" s="33" t="s">
        <v>164</v>
      </c>
      <c r="C164" s="22" t="s">
        <v>153</v>
      </c>
      <c r="D164" s="22">
        <v>3</v>
      </c>
      <c r="E164" s="22">
        <v>0.7</v>
      </c>
      <c r="F164" s="26">
        <v>216.8</v>
      </c>
      <c r="G164" s="26">
        <f t="shared" si="37"/>
        <v>151.76</v>
      </c>
      <c r="H164" s="26">
        <f t="shared" si="42"/>
        <v>45.98327999999999</v>
      </c>
      <c r="I164" s="26">
        <f t="shared" si="39"/>
        <v>45.52799999999999</v>
      </c>
      <c r="J164" s="26">
        <f t="shared" si="40"/>
        <v>243.27127999999996</v>
      </c>
      <c r="K164" s="26">
        <f t="shared" si="36"/>
        <v>287.0601103999999</v>
      </c>
    </row>
    <row r="165" spans="1:11" ht="30">
      <c r="A165" s="25" t="s">
        <v>165</v>
      </c>
      <c r="B165" s="33" t="s">
        <v>166</v>
      </c>
      <c r="C165" s="22" t="s">
        <v>167</v>
      </c>
      <c r="D165" s="22">
        <v>3</v>
      </c>
      <c r="E165" s="22">
        <v>0.09</v>
      </c>
      <c r="F165" s="26">
        <v>216.8</v>
      </c>
      <c r="G165" s="26">
        <f t="shared" si="37"/>
        <v>19.512</v>
      </c>
      <c r="H165" s="26">
        <f t="shared" si="42"/>
        <v>5.912136</v>
      </c>
      <c r="I165" s="26">
        <f t="shared" si="39"/>
        <v>5.8536</v>
      </c>
      <c r="J165" s="26">
        <f t="shared" si="40"/>
        <v>31.277736</v>
      </c>
      <c r="K165" s="26">
        <f t="shared" si="36"/>
        <v>36.907728479999996</v>
      </c>
    </row>
    <row r="166" spans="1:11" ht="30">
      <c r="A166" s="25" t="s">
        <v>168</v>
      </c>
      <c r="B166" s="33" t="s">
        <v>169</v>
      </c>
      <c r="C166" s="24" t="s">
        <v>153</v>
      </c>
      <c r="D166" s="24">
        <v>3.1</v>
      </c>
      <c r="E166" s="22">
        <v>0.85</v>
      </c>
      <c r="F166" s="26">
        <v>216.8</v>
      </c>
      <c r="G166" s="26">
        <f t="shared" si="37"/>
        <v>184.28</v>
      </c>
      <c r="H166" s="26">
        <f t="shared" si="42"/>
        <v>55.83684</v>
      </c>
      <c r="I166" s="26">
        <f t="shared" si="39"/>
        <v>55.284</v>
      </c>
      <c r="J166" s="26">
        <f t="shared" si="40"/>
        <v>295.40084</v>
      </c>
      <c r="K166" s="26">
        <f t="shared" si="36"/>
        <v>348.5729912</v>
      </c>
    </row>
    <row r="167" spans="1:11" ht="15">
      <c r="A167" s="54" t="s">
        <v>170</v>
      </c>
      <c r="B167" s="55"/>
      <c r="C167" s="55"/>
      <c r="D167" s="55"/>
      <c r="E167" s="55"/>
      <c r="F167" s="55"/>
      <c r="G167" s="55"/>
      <c r="H167" s="55"/>
      <c r="I167" s="55"/>
      <c r="J167" s="56"/>
      <c r="K167" s="26"/>
    </row>
    <row r="168" spans="1:11" ht="45">
      <c r="A168" s="32" t="s">
        <v>172</v>
      </c>
      <c r="B168" s="32" t="s">
        <v>171</v>
      </c>
      <c r="C168" s="37" t="s">
        <v>153</v>
      </c>
      <c r="D168" s="24">
        <v>3.6</v>
      </c>
      <c r="E168" s="22">
        <v>1.91</v>
      </c>
      <c r="F168" s="26">
        <v>216.8</v>
      </c>
      <c r="G168" s="26">
        <f t="shared" si="37"/>
        <v>414.088</v>
      </c>
      <c r="H168" s="26">
        <f>G168*30.3/100</f>
        <v>125.468664</v>
      </c>
      <c r="I168" s="26">
        <f t="shared" si="39"/>
        <v>124.22640000000001</v>
      </c>
      <c r="J168" s="26">
        <f t="shared" si="40"/>
        <v>663.7830640000001</v>
      </c>
      <c r="K168" s="26">
        <f t="shared" si="36"/>
        <v>783.26401552</v>
      </c>
    </row>
    <row r="169" spans="1:11" ht="45">
      <c r="A169" s="32" t="s">
        <v>173</v>
      </c>
      <c r="B169" s="32" t="s">
        <v>174</v>
      </c>
      <c r="C169" s="37" t="s">
        <v>153</v>
      </c>
      <c r="D169" s="24">
        <v>3.6</v>
      </c>
      <c r="E169" s="22">
        <v>1.35</v>
      </c>
      <c r="F169" s="26">
        <v>216.8</v>
      </c>
      <c r="G169" s="26">
        <f t="shared" si="37"/>
        <v>292.68</v>
      </c>
      <c r="H169" s="26">
        <f>G169*30.3/100</f>
        <v>88.68204</v>
      </c>
      <c r="I169" s="26">
        <f t="shared" si="39"/>
        <v>87.804</v>
      </c>
      <c r="J169" s="26">
        <f t="shared" si="40"/>
        <v>469.16603999999995</v>
      </c>
      <c r="K169" s="26">
        <f t="shared" si="36"/>
        <v>553.6159271999999</v>
      </c>
    </row>
    <row r="170" spans="1:11" ht="45">
      <c r="A170" s="32" t="s">
        <v>175</v>
      </c>
      <c r="B170" s="32" t="s">
        <v>176</v>
      </c>
      <c r="C170" s="37" t="s">
        <v>153</v>
      </c>
      <c r="D170" s="24">
        <v>3.6</v>
      </c>
      <c r="E170" s="22">
        <v>1.05</v>
      </c>
      <c r="F170" s="26">
        <v>216.8</v>
      </c>
      <c r="G170" s="26">
        <f t="shared" si="37"/>
        <v>227.64000000000001</v>
      </c>
      <c r="H170" s="26">
        <f>G170*30.3/100</f>
        <v>68.97492</v>
      </c>
      <c r="I170" s="26">
        <f t="shared" si="39"/>
        <v>68.292</v>
      </c>
      <c r="J170" s="26">
        <f t="shared" si="40"/>
        <v>364.90692</v>
      </c>
      <c r="K170" s="26">
        <f t="shared" si="36"/>
        <v>430.5901656</v>
      </c>
    </row>
    <row r="171" spans="1:10" ht="15">
      <c r="A171" s="41" t="s">
        <v>191</v>
      </c>
      <c r="B171" s="39"/>
      <c r="C171" s="39"/>
      <c r="D171" s="39"/>
      <c r="E171" s="39"/>
      <c r="F171" s="40"/>
      <c r="G171" s="40"/>
      <c r="H171" s="40"/>
      <c r="I171" s="40"/>
      <c r="J171" s="40"/>
    </row>
    <row r="172" spans="1:10" ht="15">
      <c r="A172" s="41" t="s">
        <v>192</v>
      </c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 ht="15">
      <c r="A173" s="41" t="s">
        <v>193</v>
      </c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1:10" ht="15">
      <c r="A174" s="41" t="s">
        <v>194</v>
      </c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 ht="15">
      <c r="A175" s="41" t="s">
        <v>289</v>
      </c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 ht="14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4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  <row r="178" spans="1:10" ht="14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</row>
    <row r="179" spans="1:10" ht="14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</row>
    <row r="180" spans="1:10" ht="14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</row>
    <row r="181" spans="1:10" ht="14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</row>
    <row r="182" spans="1:10" ht="14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</row>
    <row r="183" spans="1:10" ht="14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</row>
    <row r="184" spans="1:10" ht="14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</row>
    <row r="185" spans="1:10" ht="14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</row>
    <row r="186" spans="1:10" ht="14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</row>
    <row r="187" spans="1:10" ht="14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</row>
    <row r="188" spans="1:10" ht="14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</row>
    <row r="189" spans="1:10" ht="14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</row>
    <row r="190" spans="1:10" ht="14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</row>
    <row r="191" spans="1:10" ht="14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</row>
    <row r="192" spans="1:10" ht="14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</row>
    <row r="193" spans="1:10" ht="14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</row>
    <row r="194" spans="1:10" ht="14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</row>
    <row r="195" spans="1:10" ht="14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</row>
    <row r="196" spans="1:10" ht="14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</row>
    <row r="197" spans="1:10" ht="14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</row>
    <row r="198" spans="1:10" ht="14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</row>
    <row r="199" spans="1:10" ht="14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</row>
    <row r="200" spans="1:10" ht="14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</row>
    <row r="201" spans="1:10" ht="14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</row>
    <row r="202" spans="1:10" ht="14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</row>
  </sheetData>
  <sheetProtection/>
  <mergeCells count="16">
    <mergeCell ref="A101:J101"/>
    <mergeCell ref="A149:J149"/>
    <mergeCell ref="A167:J167"/>
    <mergeCell ref="A104:J104"/>
    <mergeCell ref="A107:J107"/>
    <mergeCell ref="A115:J115"/>
    <mergeCell ref="A142:J142"/>
    <mergeCell ref="F1:G1"/>
    <mergeCell ref="F4:G4"/>
    <mergeCell ref="B7:G8"/>
    <mergeCell ref="A11:J11"/>
    <mergeCell ref="A98:J98"/>
    <mergeCell ref="H1:J1"/>
    <mergeCell ref="G2:J2"/>
    <mergeCell ref="G5:J5"/>
    <mergeCell ref="G3:J3"/>
  </mergeCells>
  <printOptions/>
  <pageMargins left="0.44" right="0.2" top="0.2" bottom="0.2" header="0.2" footer="0.2"/>
  <pageSetup horizontalDpi="600" verticalDpi="600" orientation="portrait" paperSize="9" scale="86" r:id="rId1"/>
  <rowBreaks count="5" manualBreakCount="5">
    <brk id="80" max="9" man="1"/>
    <brk id="91" max="255" man="1"/>
    <brk id="106" max="255" man="1"/>
    <brk id="125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40">
      <selection activeCell="F56" sqref="F56"/>
    </sheetView>
  </sheetViews>
  <sheetFormatPr defaultColWidth="9.140625" defaultRowHeight="12.75"/>
  <cols>
    <col min="1" max="1" width="23.421875" style="0" customWidth="1"/>
    <col min="2" max="2" width="11.00390625" style="0" customWidth="1"/>
    <col min="3" max="3" width="6.421875" style="0" customWidth="1"/>
    <col min="4" max="4" width="6.140625" style="0" customWidth="1"/>
    <col min="5" max="5" width="8.140625" style="0" customWidth="1"/>
    <col min="6" max="6" width="8.57421875" style="0" customWidth="1"/>
    <col min="7" max="7" width="9.8515625" style="0" customWidth="1"/>
    <col min="8" max="8" width="8.00390625" style="0" customWidth="1"/>
    <col min="9" max="9" width="7.7109375" style="0" customWidth="1"/>
    <col min="10" max="10" width="9.421875" style="0" bestFit="1" customWidth="1"/>
  </cols>
  <sheetData>
    <row r="1" spans="6:9" ht="12.75">
      <c r="F1" s="68"/>
      <c r="G1" s="68"/>
      <c r="H1" s="68" t="s">
        <v>196</v>
      </c>
      <c r="I1" s="68"/>
    </row>
    <row r="2" spans="7:8" ht="12.75">
      <c r="G2" s="17"/>
      <c r="H2" s="16" t="s">
        <v>197</v>
      </c>
    </row>
    <row r="3" spans="6:7" ht="12.75">
      <c r="F3" s="69"/>
      <c r="G3" s="69"/>
    </row>
    <row r="4" ht="12.75">
      <c r="G4" t="s">
        <v>199</v>
      </c>
    </row>
    <row r="5" spans="6:7" ht="12.75">
      <c r="F5" s="69"/>
      <c r="G5" s="69"/>
    </row>
    <row r="6" ht="12.75">
      <c r="G6" t="s">
        <v>198</v>
      </c>
    </row>
    <row r="8" spans="2:7" ht="12.75">
      <c r="B8" s="70" t="s">
        <v>9</v>
      </c>
      <c r="C8" s="70"/>
      <c r="D8" s="70"/>
      <c r="E8" s="70"/>
      <c r="F8" s="70"/>
      <c r="G8" s="70"/>
    </row>
    <row r="9" spans="2:7" ht="42.75" customHeight="1">
      <c r="B9" s="70"/>
      <c r="C9" s="70"/>
      <c r="D9" s="70"/>
      <c r="E9" s="70"/>
      <c r="F9" s="70"/>
      <c r="G9" s="70"/>
    </row>
    <row r="10" ht="12.75" customHeight="1"/>
    <row r="11" spans="1:10" ht="68.25" customHeight="1">
      <c r="A11" s="7" t="s">
        <v>0</v>
      </c>
      <c r="B11" s="7" t="s">
        <v>1</v>
      </c>
      <c r="C11" s="7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209</v>
      </c>
      <c r="I11" s="8" t="s">
        <v>7</v>
      </c>
      <c r="J11" s="8" t="s">
        <v>8</v>
      </c>
    </row>
    <row r="12" spans="1:10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</row>
    <row r="13" spans="1:10" ht="12.75">
      <c r="A13" s="71" t="s">
        <v>10</v>
      </c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24" customHeight="1">
      <c r="A14" s="4" t="s">
        <v>11</v>
      </c>
      <c r="B14" s="2" t="s">
        <v>12</v>
      </c>
      <c r="C14" s="2" t="s">
        <v>13</v>
      </c>
      <c r="D14" s="2">
        <v>3.5</v>
      </c>
      <c r="E14" s="2">
        <v>4.13</v>
      </c>
      <c r="F14" s="2">
        <v>209.12</v>
      </c>
      <c r="G14" s="6">
        <f>F14*E14</f>
        <v>863.6656</v>
      </c>
      <c r="H14" s="6">
        <f>G14*30.3/100</f>
        <v>261.6906768</v>
      </c>
      <c r="I14" s="6">
        <f>G14*30/100</f>
        <v>259.09968000000003</v>
      </c>
      <c r="J14" s="6">
        <f>G14+H14+I14</f>
        <v>1384.4559568000002</v>
      </c>
    </row>
    <row r="15" spans="1:10" ht="42.75" customHeight="1">
      <c r="A15" s="4" t="s">
        <v>14</v>
      </c>
      <c r="B15" s="2" t="s">
        <v>15</v>
      </c>
      <c r="C15" s="2" t="s">
        <v>13</v>
      </c>
      <c r="D15" s="2">
        <v>3.5</v>
      </c>
      <c r="E15" s="2">
        <v>1</v>
      </c>
      <c r="F15" s="2">
        <v>209.12</v>
      </c>
      <c r="G15" s="2">
        <f>F15*E15</f>
        <v>209.12</v>
      </c>
      <c r="H15" s="6">
        <f>G15*30.3/100</f>
        <v>63.36336</v>
      </c>
      <c r="I15" s="6">
        <f>G15*30/100</f>
        <v>62.736000000000004</v>
      </c>
      <c r="J15" s="6">
        <f>G15+H15+I15</f>
        <v>335.21936</v>
      </c>
    </row>
    <row r="16" spans="1:10" ht="12.75">
      <c r="A16" s="4" t="s">
        <v>16</v>
      </c>
      <c r="B16" s="2" t="s">
        <v>15</v>
      </c>
      <c r="C16" s="2" t="s">
        <v>19</v>
      </c>
      <c r="D16" s="2">
        <v>3.5</v>
      </c>
      <c r="E16" s="2">
        <v>1</v>
      </c>
      <c r="F16" s="2">
        <v>209.12</v>
      </c>
      <c r="G16" s="2">
        <f>F16*E16</f>
        <v>209.12</v>
      </c>
      <c r="H16" s="6">
        <f aca="true" t="shared" si="0" ref="H16:H35">G16*30.3/100</f>
        <v>63.36336</v>
      </c>
      <c r="I16" s="6">
        <f>G16*30/100</f>
        <v>62.736000000000004</v>
      </c>
      <c r="J16" s="6">
        <f>G16+H16+I16</f>
        <v>335.21936</v>
      </c>
    </row>
    <row r="17" spans="1:10" ht="12.75">
      <c r="A17" s="4" t="s">
        <v>17</v>
      </c>
      <c r="B17" s="2" t="s">
        <v>18</v>
      </c>
      <c r="C17" s="2" t="s">
        <v>19</v>
      </c>
      <c r="D17" s="2">
        <v>3.5</v>
      </c>
      <c r="E17" s="2">
        <v>3.55</v>
      </c>
      <c r="F17" s="2">
        <v>209.12</v>
      </c>
      <c r="G17" s="6">
        <f>F17*E17</f>
        <v>742.376</v>
      </c>
      <c r="H17" s="6">
        <f t="shared" si="0"/>
        <v>224.939928</v>
      </c>
      <c r="I17" s="6">
        <f>G17*30/100</f>
        <v>222.7128</v>
      </c>
      <c r="J17" s="6">
        <f>G17+H17+I17</f>
        <v>1190.028728</v>
      </c>
    </row>
    <row r="18" spans="1:10" ht="12.75">
      <c r="A18" s="4" t="s">
        <v>20</v>
      </c>
      <c r="B18" s="2" t="s">
        <v>21</v>
      </c>
      <c r="C18" s="2" t="s">
        <v>22</v>
      </c>
      <c r="D18" s="2">
        <v>3.5</v>
      </c>
      <c r="E18" s="2">
        <v>2.1</v>
      </c>
      <c r="F18" s="2">
        <v>209.12</v>
      </c>
      <c r="G18" s="6">
        <f aca="true" t="shared" si="1" ref="G18:G44">F18*E18</f>
        <v>439.15200000000004</v>
      </c>
      <c r="H18" s="6">
        <f t="shared" si="0"/>
        <v>133.06305600000002</v>
      </c>
      <c r="I18" s="6">
        <f aca="true" t="shared" si="2" ref="I18:I44">G18*30/100</f>
        <v>131.74560000000002</v>
      </c>
      <c r="J18" s="6">
        <f aca="true" t="shared" si="3" ref="J18:J44">G18+H18+I18</f>
        <v>703.960656</v>
      </c>
    </row>
    <row r="19" spans="1:10" ht="12.75">
      <c r="A19" s="4" t="s">
        <v>23</v>
      </c>
      <c r="B19" s="2" t="s">
        <v>24</v>
      </c>
      <c r="C19" s="2" t="s">
        <v>22</v>
      </c>
      <c r="D19" s="2">
        <v>3.5</v>
      </c>
      <c r="E19" s="2">
        <v>3.27</v>
      </c>
      <c r="F19" s="2">
        <v>209.12</v>
      </c>
      <c r="G19" s="6">
        <f t="shared" si="1"/>
        <v>683.8224</v>
      </c>
      <c r="H19" s="6">
        <f t="shared" si="0"/>
        <v>207.1981872</v>
      </c>
      <c r="I19" s="6">
        <f t="shared" si="2"/>
        <v>205.14672</v>
      </c>
      <c r="J19" s="6">
        <f t="shared" si="3"/>
        <v>1096.1673072</v>
      </c>
    </row>
    <row r="20" spans="1:10" ht="22.5">
      <c r="A20" s="4" t="s">
        <v>25</v>
      </c>
      <c r="B20" s="5" t="s">
        <v>26</v>
      </c>
      <c r="C20" s="2" t="s">
        <v>19</v>
      </c>
      <c r="D20" s="2">
        <v>4</v>
      </c>
      <c r="E20" s="2">
        <v>1.732</v>
      </c>
      <c r="F20" s="2">
        <v>209.12</v>
      </c>
      <c r="G20" s="6">
        <f t="shared" si="1"/>
        <v>362.19584000000003</v>
      </c>
      <c r="H20" s="6">
        <f t="shared" si="0"/>
        <v>109.74533952000002</v>
      </c>
      <c r="I20" s="6">
        <f t="shared" si="2"/>
        <v>108.658752</v>
      </c>
      <c r="J20" s="6">
        <f t="shared" si="3"/>
        <v>580.59993152</v>
      </c>
    </row>
    <row r="21" spans="1:10" ht="22.5">
      <c r="A21" s="4" t="s">
        <v>27</v>
      </c>
      <c r="B21" s="5" t="s">
        <v>28</v>
      </c>
      <c r="C21" s="2" t="s">
        <v>22</v>
      </c>
      <c r="D21" s="2">
        <v>4</v>
      </c>
      <c r="E21" s="2">
        <v>2.165</v>
      </c>
      <c r="F21" s="2">
        <v>209.12</v>
      </c>
      <c r="G21" s="6">
        <f t="shared" si="1"/>
        <v>452.7448</v>
      </c>
      <c r="H21" s="6">
        <f t="shared" si="0"/>
        <v>137.18167440000002</v>
      </c>
      <c r="I21" s="6">
        <f t="shared" si="2"/>
        <v>135.82344</v>
      </c>
      <c r="J21" s="6">
        <f t="shared" si="3"/>
        <v>725.7499144</v>
      </c>
    </row>
    <row r="22" spans="1:10" ht="22.5">
      <c r="A22" s="4" t="s">
        <v>29</v>
      </c>
      <c r="B22" s="2" t="s">
        <v>30</v>
      </c>
      <c r="C22" s="2" t="s">
        <v>22</v>
      </c>
      <c r="D22" s="2">
        <v>3.5</v>
      </c>
      <c r="E22" s="2">
        <v>1.4</v>
      </c>
      <c r="F22" s="2">
        <v>209.12</v>
      </c>
      <c r="G22" s="6">
        <f t="shared" si="1"/>
        <v>292.768</v>
      </c>
      <c r="H22" s="6">
        <f t="shared" si="0"/>
        <v>88.708704</v>
      </c>
      <c r="I22" s="6">
        <f t="shared" si="2"/>
        <v>87.8304</v>
      </c>
      <c r="J22" s="6">
        <f t="shared" si="3"/>
        <v>469.307104</v>
      </c>
    </row>
    <row r="23" spans="1:10" ht="12.75">
      <c r="A23" s="4" t="s">
        <v>31</v>
      </c>
      <c r="B23" s="2" t="s">
        <v>32</v>
      </c>
      <c r="C23" s="2" t="s">
        <v>19</v>
      </c>
      <c r="D23" s="2">
        <v>3.5</v>
      </c>
      <c r="E23" s="2">
        <v>5.87</v>
      </c>
      <c r="F23" s="2">
        <v>209.12</v>
      </c>
      <c r="G23" s="6">
        <f t="shared" si="1"/>
        <v>1227.5344</v>
      </c>
      <c r="H23" s="6">
        <f t="shared" si="0"/>
        <v>371.9429232</v>
      </c>
      <c r="I23" s="6">
        <f t="shared" si="2"/>
        <v>368.26032</v>
      </c>
      <c r="J23" s="6">
        <f t="shared" si="3"/>
        <v>1967.7376432</v>
      </c>
    </row>
    <row r="24" spans="1:10" ht="12.75">
      <c r="A24" s="4" t="s">
        <v>33</v>
      </c>
      <c r="B24" s="2" t="s">
        <v>34</v>
      </c>
      <c r="C24" s="2" t="s">
        <v>19</v>
      </c>
      <c r="D24" s="2">
        <v>3.5</v>
      </c>
      <c r="E24" s="2">
        <v>5.32</v>
      </c>
      <c r="F24" s="2">
        <v>209.12</v>
      </c>
      <c r="G24" s="6">
        <f t="shared" si="1"/>
        <v>1112.5184000000002</v>
      </c>
      <c r="H24" s="6">
        <f t="shared" si="0"/>
        <v>337.09307520000004</v>
      </c>
      <c r="I24" s="6">
        <f t="shared" si="2"/>
        <v>333.75552000000005</v>
      </c>
      <c r="J24" s="6">
        <f t="shared" si="3"/>
        <v>1783.3669952000005</v>
      </c>
    </row>
    <row r="25" spans="1:10" ht="22.5">
      <c r="A25" s="4" t="s">
        <v>35</v>
      </c>
      <c r="B25" s="2" t="s">
        <v>36</v>
      </c>
      <c r="C25" s="2" t="s">
        <v>19</v>
      </c>
      <c r="D25" s="2">
        <v>3.5</v>
      </c>
      <c r="E25" s="2">
        <v>2.67</v>
      </c>
      <c r="F25" s="2">
        <v>209.12</v>
      </c>
      <c r="G25" s="6">
        <f t="shared" si="1"/>
        <v>558.3504</v>
      </c>
      <c r="H25" s="6">
        <f t="shared" si="0"/>
        <v>169.18017120000002</v>
      </c>
      <c r="I25" s="6">
        <f t="shared" si="2"/>
        <v>167.50512000000003</v>
      </c>
      <c r="J25" s="6">
        <f t="shared" si="3"/>
        <v>895.0356912000001</v>
      </c>
    </row>
    <row r="26" spans="1:10" ht="22.5">
      <c r="A26" s="4" t="s">
        <v>37</v>
      </c>
      <c r="B26" s="2" t="s">
        <v>38</v>
      </c>
      <c r="C26" s="2" t="s">
        <v>19</v>
      </c>
      <c r="D26" s="2">
        <v>3.5</v>
      </c>
      <c r="E26" s="2">
        <v>2</v>
      </c>
      <c r="F26" s="2">
        <v>209.12</v>
      </c>
      <c r="G26" s="6">
        <f t="shared" si="1"/>
        <v>418.24</v>
      </c>
      <c r="H26" s="6">
        <f t="shared" si="0"/>
        <v>126.72672</v>
      </c>
      <c r="I26" s="6">
        <f t="shared" si="2"/>
        <v>125.47200000000001</v>
      </c>
      <c r="J26" s="6">
        <f t="shared" si="3"/>
        <v>670.43872</v>
      </c>
    </row>
    <row r="27" spans="1:10" ht="33.75">
      <c r="A27" s="4" t="s">
        <v>39</v>
      </c>
      <c r="B27" s="5" t="s">
        <v>40</v>
      </c>
      <c r="C27" s="2" t="s">
        <v>19</v>
      </c>
      <c r="D27" s="2">
        <v>3.5</v>
      </c>
      <c r="E27" s="2">
        <v>2.56</v>
      </c>
      <c r="F27" s="2">
        <v>209.12</v>
      </c>
      <c r="G27" s="6">
        <f t="shared" si="1"/>
        <v>535.3472</v>
      </c>
      <c r="H27" s="6">
        <f t="shared" si="0"/>
        <v>162.2102016</v>
      </c>
      <c r="I27" s="6">
        <f t="shared" si="2"/>
        <v>160.60416</v>
      </c>
      <c r="J27" s="6">
        <f t="shared" si="3"/>
        <v>858.1615616</v>
      </c>
    </row>
    <row r="28" spans="1:10" ht="33.75">
      <c r="A28" s="4" t="s">
        <v>41</v>
      </c>
      <c r="B28" s="2" t="s">
        <v>42</v>
      </c>
      <c r="C28" s="2" t="s">
        <v>19</v>
      </c>
      <c r="D28" s="2">
        <v>3.5</v>
      </c>
      <c r="E28" s="2">
        <v>0.33</v>
      </c>
      <c r="F28" s="2">
        <v>209.12</v>
      </c>
      <c r="G28" s="6">
        <f t="shared" si="1"/>
        <v>69.0096</v>
      </c>
      <c r="H28" s="6">
        <f t="shared" si="0"/>
        <v>20.909908800000004</v>
      </c>
      <c r="I28" s="6">
        <f t="shared" si="2"/>
        <v>20.70288</v>
      </c>
      <c r="J28" s="6">
        <f t="shared" si="3"/>
        <v>110.62238880000001</v>
      </c>
    </row>
    <row r="29" spans="1:10" ht="12.75">
      <c r="A29" s="4" t="s">
        <v>43</v>
      </c>
      <c r="B29" s="2" t="s">
        <v>44</v>
      </c>
      <c r="C29" s="2" t="s">
        <v>19</v>
      </c>
      <c r="D29" s="2">
        <v>3</v>
      </c>
      <c r="E29" s="2">
        <v>0.44</v>
      </c>
      <c r="F29" s="2">
        <v>209.12</v>
      </c>
      <c r="G29" s="6">
        <f t="shared" si="1"/>
        <v>92.0128</v>
      </c>
      <c r="H29" s="6">
        <f t="shared" si="0"/>
        <v>27.879878400000003</v>
      </c>
      <c r="I29" s="6">
        <f t="shared" si="2"/>
        <v>27.60384</v>
      </c>
      <c r="J29" s="6">
        <f t="shared" si="3"/>
        <v>147.49651839999999</v>
      </c>
    </row>
    <row r="30" spans="1:10" ht="56.25">
      <c r="A30" s="4" t="s">
        <v>45</v>
      </c>
      <c r="B30" s="5" t="s">
        <v>46</v>
      </c>
      <c r="C30" s="5" t="s">
        <v>47</v>
      </c>
      <c r="D30" s="2">
        <v>2</v>
      </c>
      <c r="E30" s="2">
        <v>2.19</v>
      </c>
      <c r="F30" s="2">
        <v>209.12</v>
      </c>
      <c r="G30" s="6">
        <f t="shared" si="1"/>
        <v>457.9728</v>
      </c>
      <c r="H30" s="6">
        <f t="shared" si="0"/>
        <v>138.7657584</v>
      </c>
      <c r="I30" s="6">
        <f t="shared" si="2"/>
        <v>137.39184</v>
      </c>
      <c r="J30" s="6">
        <f t="shared" si="3"/>
        <v>734.1303984</v>
      </c>
    </row>
    <row r="31" spans="1:10" ht="45">
      <c r="A31" s="4" t="s">
        <v>48</v>
      </c>
      <c r="B31" s="5" t="s">
        <v>49</v>
      </c>
      <c r="C31" s="5" t="s">
        <v>47</v>
      </c>
      <c r="D31" s="2">
        <v>2</v>
      </c>
      <c r="E31" s="2">
        <v>1.86</v>
      </c>
      <c r="F31" s="2">
        <v>209.12</v>
      </c>
      <c r="G31" s="6">
        <f t="shared" si="1"/>
        <v>388.96320000000003</v>
      </c>
      <c r="H31" s="6">
        <f t="shared" si="0"/>
        <v>117.85584960000001</v>
      </c>
      <c r="I31" s="6">
        <f t="shared" si="2"/>
        <v>116.68896000000001</v>
      </c>
      <c r="J31" s="6">
        <f t="shared" si="3"/>
        <v>623.5080096</v>
      </c>
    </row>
    <row r="32" spans="1:10" ht="22.5">
      <c r="A32" s="4" t="s">
        <v>50</v>
      </c>
      <c r="B32" s="2" t="s">
        <v>51</v>
      </c>
      <c r="C32" s="2" t="s">
        <v>52</v>
      </c>
      <c r="D32" s="2">
        <v>2.8</v>
      </c>
      <c r="E32" s="2">
        <v>4.33</v>
      </c>
      <c r="F32" s="2">
        <v>209.12</v>
      </c>
      <c r="G32" s="6">
        <f t="shared" si="1"/>
        <v>905.4896</v>
      </c>
      <c r="H32" s="6">
        <f t="shared" si="0"/>
        <v>274.36334880000004</v>
      </c>
      <c r="I32" s="6">
        <f t="shared" si="2"/>
        <v>271.64688</v>
      </c>
      <c r="J32" s="6">
        <f t="shared" si="3"/>
        <v>1451.4998288</v>
      </c>
    </row>
    <row r="33" spans="1:10" ht="33.75">
      <c r="A33" s="4" t="s">
        <v>53</v>
      </c>
      <c r="B33" s="2" t="s">
        <v>54</v>
      </c>
      <c r="C33" s="2" t="s">
        <v>52</v>
      </c>
      <c r="D33" s="2">
        <v>3.2</v>
      </c>
      <c r="E33" s="2">
        <v>2.16</v>
      </c>
      <c r="F33" s="2">
        <v>209.12</v>
      </c>
      <c r="G33" s="6">
        <f t="shared" si="1"/>
        <v>451.6992</v>
      </c>
      <c r="H33" s="6">
        <f t="shared" si="0"/>
        <v>136.86485760000002</v>
      </c>
      <c r="I33" s="6">
        <f t="shared" si="2"/>
        <v>135.50976</v>
      </c>
      <c r="J33" s="6">
        <f t="shared" si="3"/>
        <v>724.0738176000001</v>
      </c>
    </row>
    <row r="34" spans="1:10" ht="33.75">
      <c r="A34" s="4" t="s">
        <v>55</v>
      </c>
      <c r="B34" s="5" t="s">
        <v>56</v>
      </c>
      <c r="C34" s="2" t="s">
        <v>52</v>
      </c>
      <c r="D34" s="2">
        <v>3.2</v>
      </c>
      <c r="E34" s="2">
        <v>2.77</v>
      </c>
      <c r="F34" s="2">
        <v>209.12</v>
      </c>
      <c r="G34" s="6">
        <f t="shared" si="1"/>
        <v>579.2624000000001</v>
      </c>
      <c r="H34" s="6">
        <f t="shared" si="0"/>
        <v>175.5165072</v>
      </c>
      <c r="I34" s="6">
        <f t="shared" si="2"/>
        <v>173.77872000000002</v>
      </c>
      <c r="J34" s="6">
        <f t="shared" si="3"/>
        <v>928.5576272000001</v>
      </c>
    </row>
    <row r="35" spans="1:10" ht="33.75">
      <c r="A35" s="4" t="s">
        <v>57</v>
      </c>
      <c r="B35" s="5" t="s">
        <v>58</v>
      </c>
      <c r="C35" s="2" t="s">
        <v>52</v>
      </c>
      <c r="D35" s="2">
        <v>3.2</v>
      </c>
      <c r="E35" s="2">
        <v>1.96</v>
      </c>
      <c r="F35" s="2">
        <v>209.12</v>
      </c>
      <c r="G35" s="6">
        <f t="shared" si="1"/>
        <v>409.8752</v>
      </c>
      <c r="H35" s="6">
        <f t="shared" si="0"/>
        <v>124.19218560000002</v>
      </c>
      <c r="I35" s="6">
        <f t="shared" si="2"/>
        <v>122.96256</v>
      </c>
      <c r="J35" s="6">
        <f t="shared" si="3"/>
        <v>657.0299456</v>
      </c>
    </row>
    <row r="36" spans="1:10" ht="12.75">
      <c r="A36" s="4"/>
      <c r="B36" s="5"/>
      <c r="C36" s="2"/>
      <c r="D36" s="2"/>
      <c r="E36" s="2"/>
      <c r="F36" s="2"/>
      <c r="G36" s="6"/>
      <c r="H36" s="6"/>
      <c r="I36" s="6"/>
      <c r="J36" s="6"/>
    </row>
    <row r="37" spans="1:10" ht="45">
      <c r="A37" s="7" t="s">
        <v>0</v>
      </c>
      <c r="B37" s="7" t="s">
        <v>1</v>
      </c>
      <c r="C37" s="7" t="s">
        <v>2</v>
      </c>
      <c r="D37" s="8" t="s">
        <v>3</v>
      </c>
      <c r="E37" s="8" t="s">
        <v>4</v>
      </c>
      <c r="F37" s="8" t="s">
        <v>5</v>
      </c>
      <c r="G37" s="8" t="s">
        <v>6</v>
      </c>
      <c r="H37" s="8" t="s">
        <v>209</v>
      </c>
      <c r="I37" s="8" t="s">
        <v>7</v>
      </c>
      <c r="J37" s="8" t="s">
        <v>8</v>
      </c>
    </row>
    <row r="38" spans="1:10" ht="12.75">
      <c r="A38" s="2">
        <v>1</v>
      </c>
      <c r="B38" s="2">
        <v>2</v>
      </c>
      <c r="C38" s="2">
        <v>3</v>
      </c>
      <c r="D38" s="2">
        <v>4</v>
      </c>
      <c r="E38" s="2">
        <v>5</v>
      </c>
      <c r="F38" s="2">
        <v>6</v>
      </c>
      <c r="G38" s="2">
        <v>7</v>
      </c>
      <c r="H38" s="2">
        <v>8</v>
      </c>
      <c r="I38" s="2">
        <v>9</v>
      </c>
      <c r="J38" s="2">
        <v>10</v>
      </c>
    </row>
    <row r="39" spans="1:10" ht="22.5">
      <c r="A39" s="4" t="s">
        <v>59</v>
      </c>
      <c r="B39" s="5" t="s">
        <v>60</v>
      </c>
      <c r="C39" s="2" t="s">
        <v>52</v>
      </c>
      <c r="D39" s="2">
        <v>3.2</v>
      </c>
      <c r="E39" s="2">
        <v>2.42</v>
      </c>
      <c r="F39" s="2">
        <v>209.12</v>
      </c>
      <c r="G39" s="6">
        <f t="shared" si="1"/>
        <v>506.0704</v>
      </c>
      <c r="H39" s="6">
        <f aca="true" t="shared" si="4" ref="H39:H45">G39*30.3/100</f>
        <v>153.3393312</v>
      </c>
      <c r="I39" s="6">
        <f t="shared" si="2"/>
        <v>151.82112</v>
      </c>
      <c r="J39" s="6">
        <f t="shared" si="3"/>
        <v>811.2308512</v>
      </c>
    </row>
    <row r="40" spans="1:10" ht="33.75">
      <c r="A40" s="4" t="s">
        <v>61</v>
      </c>
      <c r="B40" s="5" t="s">
        <v>62</v>
      </c>
      <c r="C40" s="2" t="s">
        <v>13</v>
      </c>
      <c r="D40" s="2">
        <v>3.5</v>
      </c>
      <c r="E40" s="2">
        <v>1.33</v>
      </c>
      <c r="F40" s="2">
        <v>209.12</v>
      </c>
      <c r="G40" s="6">
        <f t="shared" si="1"/>
        <v>278.12960000000004</v>
      </c>
      <c r="H40" s="6">
        <f t="shared" si="4"/>
        <v>84.27326880000001</v>
      </c>
      <c r="I40" s="6">
        <f t="shared" si="2"/>
        <v>83.43888000000001</v>
      </c>
      <c r="J40" s="6">
        <f t="shared" si="3"/>
        <v>445.8417488000001</v>
      </c>
    </row>
    <row r="41" spans="1:10" ht="33.75">
      <c r="A41" s="4" t="s">
        <v>63</v>
      </c>
      <c r="B41" s="5" t="s">
        <v>64</v>
      </c>
      <c r="C41" s="2" t="s">
        <v>19</v>
      </c>
      <c r="D41" s="2">
        <v>3.5</v>
      </c>
      <c r="E41" s="2">
        <v>0.81</v>
      </c>
      <c r="F41" s="2">
        <v>209.12</v>
      </c>
      <c r="G41" s="6">
        <f t="shared" si="1"/>
        <v>169.3872</v>
      </c>
      <c r="H41" s="6">
        <f t="shared" si="4"/>
        <v>51.324321600000005</v>
      </c>
      <c r="I41" s="6">
        <f t="shared" si="2"/>
        <v>50.816159999999996</v>
      </c>
      <c r="J41" s="6">
        <f t="shared" si="3"/>
        <v>271.52768160000005</v>
      </c>
    </row>
    <row r="42" spans="1:10" ht="12.75">
      <c r="A42" s="4"/>
      <c r="B42" s="5"/>
      <c r="C42" s="2"/>
      <c r="D42" s="2"/>
      <c r="E42" s="2"/>
      <c r="F42" s="2"/>
      <c r="G42" s="6"/>
      <c r="H42" s="6">
        <f t="shared" si="4"/>
        <v>0</v>
      </c>
      <c r="I42" s="6"/>
      <c r="J42" s="6"/>
    </row>
    <row r="43" spans="1:10" ht="22.5">
      <c r="A43" s="4" t="s">
        <v>65</v>
      </c>
      <c r="B43" s="5" t="s">
        <v>66</v>
      </c>
      <c r="C43" s="2" t="s">
        <v>19</v>
      </c>
      <c r="D43" s="2">
        <v>3.5</v>
      </c>
      <c r="E43" s="2">
        <v>0.76</v>
      </c>
      <c r="F43" s="2">
        <v>209.12</v>
      </c>
      <c r="G43" s="6">
        <f t="shared" si="1"/>
        <v>158.93120000000002</v>
      </c>
      <c r="H43" s="6">
        <f t="shared" si="4"/>
        <v>48.15615360000001</v>
      </c>
      <c r="I43" s="6">
        <f t="shared" si="2"/>
        <v>47.67936</v>
      </c>
      <c r="J43" s="6">
        <f t="shared" si="3"/>
        <v>254.76671360000003</v>
      </c>
    </row>
    <row r="44" spans="1:10" ht="22.5">
      <c r="A44" s="4" t="s">
        <v>67</v>
      </c>
      <c r="B44" s="5" t="s">
        <v>68</v>
      </c>
      <c r="C44" s="2" t="s">
        <v>19</v>
      </c>
      <c r="D44" s="2">
        <v>3.8</v>
      </c>
      <c r="E44" s="2">
        <v>8.736</v>
      </c>
      <c r="F44" s="2">
        <v>209.12</v>
      </c>
      <c r="G44" s="6">
        <f t="shared" si="1"/>
        <v>1826.8723200000002</v>
      </c>
      <c r="H44" s="6">
        <f t="shared" si="4"/>
        <v>553.54231296</v>
      </c>
      <c r="I44" s="6">
        <f t="shared" si="2"/>
        <v>548.0616960000001</v>
      </c>
      <c r="J44" s="6">
        <f t="shared" si="3"/>
        <v>2928.4763289600005</v>
      </c>
    </row>
    <row r="45" spans="1:10" ht="33.75">
      <c r="A45" s="4" t="s">
        <v>69</v>
      </c>
      <c r="B45" s="5" t="s">
        <v>70</v>
      </c>
      <c r="C45" s="2" t="s">
        <v>19</v>
      </c>
      <c r="D45" s="2">
        <v>3</v>
      </c>
      <c r="E45" s="2">
        <v>0.418</v>
      </c>
      <c r="F45" s="2">
        <v>209.12</v>
      </c>
      <c r="G45" s="6">
        <f>F45*E45</f>
        <v>87.41216</v>
      </c>
      <c r="H45" s="6">
        <f t="shared" si="4"/>
        <v>26.48588448</v>
      </c>
      <c r="I45" s="6">
        <f>G45*30/100</f>
        <v>26.223647999999997</v>
      </c>
      <c r="J45" s="6">
        <f>G45+H45+I45</f>
        <v>140.12169247999998</v>
      </c>
    </row>
    <row r="46" spans="1:10" ht="12.75">
      <c r="A46" s="62" t="s">
        <v>71</v>
      </c>
      <c r="B46" s="63"/>
      <c r="C46" s="63"/>
      <c r="D46" s="63"/>
      <c r="E46" s="63"/>
      <c r="F46" s="63"/>
      <c r="G46" s="63"/>
      <c r="H46" s="63"/>
      <c r="I46" s="63"/>
      <c r="J46" s="64"/>
    </row>
    <row r="47" spans="1:10" ht="12.75">
      <c r="A47" s="4" t="s">
        <v>72</v>
      </c>
      <c r="B47" s="5"/>
      <c r="C47" s="2" t="s">
        <v>19</v>
      </c>
      <c r="D47" s="2">
        <v>4</v>
      </c>
      <c r="E47" s="2">
        <v>1</v>
      </c>
      <c r="F47" s="2">
        <v>209.12</v>
      </c>
      <c r="G47" s="6">
        <f>F47*E47</f>
        <v>209.12</v>
      </c>
      <c r="H47" s="6">
        <f>G47*30.3/100</f>
        <v>63.36336</v>
      </c>
      <c r="I47" s="6">
        <f>G47*30/100</f>
        <v>62.736000000000004</v>
      </c>
      <c r="J47" s="6">
        <f>G47+H47+I47</f>
        <v>335.21936</v>
      </c>
    </row>
    <row r="48" spans="1:10" ht="12.75">
      <c r="A48" s="4" t="s">
        <v>73</v>
      </c>
      <c r="B48" s="5"/>
      <c r="C48" s="2" t="s">
        <v>19</v>
      </c>
      <c r="D48" s="2">
        <v>4</v>
      </c>
      <c r="E48" s="2">
        <v>1</v>
      </c>
      <c r="F48" s="2">
        <v>265.49</v>
      </c>
      <c r="G48" s="2">
        <f>F48*E48</f>
        <v>265.49</v>
      </c>
      <c r="H48" s="6">
        <f>G48*30.3/100</f>
        <v>80.44347</v>
      </c>
      <c r="I48" s="6">
        <f>G48*30/100</f>
        <v>79.647</v>
      </c>
      <c r="J48" s="6">
        <f>G48+H48+I48</f>
        <v>425.58047</v>
      </c>
    </row>
    <row r="49" spans="1:10" ht="12.75">
      <c r="A49" s="62" t="s">
        <v>74</v>
      </c>
      <c r="B49" s="63"/>
      <c r="C49" s="63"/>
      <c r="D49" s="63"/>
      <c r="E49" s="63"/>
      <c r="F49" s="63"/>
      <c r="G49" s="63"/>
      <c r="H49" s="63"/>
      <c r="I49" s="63"/>
      <c r="J49" s="64"/>
    </row>
    <row r="50" spans="1:10" ht="12.75">
      <c r="A50" s="4" t="s">
        <v>72</v>
      </c>
      <c r="B50" s="5"/>
      <c r="C50" s="2" t="s">
        <v>19</v>
      </c>
      <c r="D50" s="2">
        <v>4</v>
      </c>
      <c r="E50" s="2">
        <v>1</v>
      </c>
      <c r="F50" s="2">
        <v>209.12</v>
      </c>
      <c r="G50" s="6">
        <f>F50*E50</f>
        <v>209.12</v>
      </c>
      <c r="H50" s="6">
        <f>G50*30.3/100</f>
        <v>63.36336</v>
      </c>
      <c r="I50" s="6">
        <f>G50*30/100</f>
        <v>62.736000000000004</v>
      </c>
      <c r="J50" s="6">
        <f>G50+H50+I50</f>
        <v>335.21936</v>
      </c>
    </row>
    <row r="51" spans="1:10" ht="12.75">
      <c r="A51" s="4" t="s">
        <v>75</v>
      </c>
      <c r="B51" s="5"/>
      <c r="C51" s="2" t="s">
        <v>19</v>
      </c>
      <c r="D51" s="2">
        <v>4</v>
      </c>
      <c r="E51" s="2">
        <v>1</v>
      </c>
      <c r="F51" s="2">
        <v>265.49</v>
      </c>
      <c r="G51" s="2">
        <f>F51*E51</f>
        <v>265.49</v>
      </c>
      <c r="H51" s="6">
        <f>G51*30.3/100</f>
        <v>80.44347</v>
      </c>
      <c r="I51" s="6">
        <f>G51*30/100</f>
        <v>79.647</v>
      </c>
      <c r="J51" s="6">
        <f>G51+H51+I51</f>
        <v>425.58047</v>
      </c>
    </row>
    <row r="52" spans="1:10" ht="12.75">
      <c r="A52" s="65" t="s">
        <v>76</v>
      </c>
      <c r="B52" s="66"/>
      <c r="C52" s="66"/>
      <c r="D52" s="66"/>
      <c r="E52" s="66"/>
      <c r="F52" s="66"/>
      <c r="G52" s="66"/>
      <c r="H52" s="66"/>
      <c r="I52" s="66"/>
      <c r="J52" s="67"/>
    </row>
    <row r="53" spans="1:10" ht="22.5">
      <c r="A53" s="4" t="s">
        <v>77</v>
      </c>
      <c r="B53" s="5" t="s">
        <v>78</v>
      </c>
      <c r="C53" s="2" t="s">
        <v>79</v>
      </c>
      <c r="D53" s="2">
        <v>2.5</v>
      </c>
      <c r="E53" s="2">
        <v>0.32</v>
      </c>
      <c r="F53" s="2">
        <v>209.12</v>
      </c>
      <c r="G53" s="6">
        <f>F53*E53</f>
        <v>66.9184</v>
      </c>
      <c r="H53" s="6">
        <f>G53*30.3/100</f>
        <v>20.2762752</v>
      </c>
      <c r="I53" s="6">
        <f>G53*30/100</f>
        <v>20.07552</v>
      </c>
      <c r="J53" s="6">
        <f>G53+H53+I53</f>
        <v>107.2701952</v>
      </c>
    </row>
    <row r="54" spans="1:10" ht="22.5">
      <c r="A54" s="4" t="s">
        <v>80</v>
      </c>
      <c r="B54" s="5" t="s">
        <v>78</v>
      </c>
      <c r="C54" s="2" t="s">
        <v>81</v>
      </c>
      <c r="D54" s="2">
        <v>2.5</v>
      </c>
      <c r="E54" s="2">
        <v>0.32</v>
      </c>
      <c r="F54" s="2">
        <v>209.12</v>
      </c>
      <c r="G54" s="6">
        <f>F54*E54</f>
        <v>66.9184</v>
      </c>
      <c r="H54" s="6">
        <f>G54*30.3/100</f>
        <v>20.2762752</v>
      </c>
      <c r="I54" s="6">
        <f>G54*30/100</f>
        <v>20.07552</v>
      </c>
      <c r="J54" s="6">
        <f>G54+H54+I54</f>
        <v>107.2701952</v>
      </c>
    </row>
    <row r="55" spans="1:10" ht="12.75">
      <c r="A55" s="65" t="s">
        <v>200</v>
      </c>
      <c r="B55" s="66"/>
      <c r="C55" s="66"/>
      <c r="D55" s="66"/>
      <c r="E55" s="66"/>
      <c r="F55" s="66"/>
      <c r="G55" s="66"/>
      <c r="H55" s="66"/>
      <c r="I55" s="66"/>
      <c r="J55" s="67"/>
    </row>
    <row r="56" spans="1:10" ht="33.75">
      <c r="A56" s="4" t="s">
        <v>205</v>
      </c>
      <c r="B56" s="5" t="s">
        <v>201</v>
      </c>
      <c r="C56" s="2" t="s">
        <v>112</v>
      </c>
      <c r="D56" s="2">
        <v>3.8</v>
      </c>
      <c r="E56" s="2">
        <v>5.6</v>
      </c>
      <c r="F56" s="2">
        <v>209.12</v>
      </c>
      <c r="G56" s="6">
        <f>F56*E56</f>
        <v>1171.072</v>
      </c>
      <c r="H56" s="6">
        <f>G56*30.3/100</f>
        <v>354.834816</v>
      </c>
      <c r="I56" s="6">
        <f>G56*30/100</f>
        <v>351.3216</v>
      </c>
      <c r="J56" s="6">
        <f>G56+H56+I56</f>
        <v>1877.228416</v>
      </c>
    </row>
    <row r="57" spans="1:10" ht="33.75">
      <c r="A57" s="4" t="s">
        <v>204</v>
      </c>
      <c r="B57" s="5" t="s">
        <v>202</v>
      </c>
      <c r="C57" s="2" t="s">
        <v>112</v>
      </c>
      <c r="D57" s="2">
        <v>3.8</v>
      </c>
      <c r="E57" s="2">
        <v>4.38</v>
      </c>
      <c r="F57" s="2">
        <v>209.12</v>
      </c>
      <c r="G57" s="6">
        <f>F57*E57</f>
        <v>915.9456</v>
      </c>
      <c r="H57" s="6">
        <f>G57*30.3/100</f>
        <v>277.5315168</v>
      </c>
      <c r="I57" s="6">
        <f>(G57*30/100)-48.4</f>
        <v>226.38368</v>
      </c>
      <c r="J57" s="6">
        <f>G57+H57+I57</f>
        <v>1419.8607968</v>
      </c>
    </row>
    <row r="58" spans="1:10" ht="33.75">
      <c r="A58" s="4" t="s">
        <v>206</v>
      </c>
      <c r="B58" s="5" t="s">
        <v>203</v>
      </c>
      <c r="C58" s="2" t="s">
        <v>112</v>
      </c>
      <c r="D58" s="2">
        <v>3.5</v>
      </c>
      <c r="E58" s="2">
        <v>2.87</v>
      </c>
      <c r="F58" s="2">
        <v>209.12</v>
      </c>
      <c r="G58" s="6">
        <f>F58*E58</f>
        <v>600.1744</v>
      </c>
      <c r="H58" s="6">
        <f>G58*30.3/100</f>
        <v>181.8528432</v>
      </c>
      <c r="I58" s="6">
        <f>(G58*30/100)+3.46</f>
        <v>183.51232000000002</v>
      </c>
      <c r="J58" s="6">
        <f>G58+H58+I58</f>
        <v>965.5395632</v>
      </c>
    </row>
    <row r="59" spans="1:10" ht="33.75">
      <c r="A59" s="4" t="s">
        <v>207</v>
      </c>
      <c r="B59" s="5" t="s">
        <v>208</v>
      </c>
      <c r="C59" s="2" t="s">
        <v>112</v>
      </c>
      <c r="D59" s="2">
        <v>4.2</v>
      </c>
      <c r="E59" s="2">
        <v>4.67</v>
      </c>
      <c r="F59" s="2">
        <v>209.12</v>
      </c>
      <c r="G59" s="6">
        <f>F59*E59</f>
        <v>976.5904</v>
      </c>
      <c r="H59" s="6">
        <f>G59*30.3/100</f>
        <v>295.9068912</v>
      </c>
      <c r="I59" s="6">
        <f>G59*30/100</f>
        <v>292.97712</v>
      </c>
      <c r="J59" s="6">
        <f>G59+H59+I59</f>
        <v>1565.4744112</v>
      </c>
    </row>
    <row r="60" spans="1:10" ht="12.75">
      <c r="A60" s="62" t="s">
        <v>82</v>
      </c>
      <c r="B60" s="63"/>
      <c r="C60" s="63"/>
      <c r="D60" s="63"/>
      <c r="E60" s="63"/>
      <c r="F60" s="63"/>
      <c r="G60" s="63"/>
      <c r="H60" s="63"/>
      <c r="I60" s="63"/>
      <c r="J60" s="64"/>
    </row>
    <row r="61" spans="1:10" ht="33.75">
      <c r="A61" s="4" t="s">
        <v>83</v>
      </c>
      <c r="B61" s="5" t="s">
        <v>84</v>
      </c>
      <c r="C61" s="2" t="s">
        <v>88</v>
      </c>
      <c r="D61" s="2">
        <v>2</v>
      </c>
      <c r="E61" s="2">
        <v>2.54</v>
      </c>
      <c r="F61" s="2">
        <v>199.13</v>
      </c>
      <c r="G61" s="6">
        <f aca="true" t="shared" si="5" ref="G61:G68">F61*E61</f>
        <v>505.79019999999997</v>
      </c>
      <c r="H61" s="6">
        <f>G61*30.3/100</f>
        <v>153.2544306</v>
      </c>
      <c r="I61" s="6">
        <f aca="true" t="shared" si="6" ref="I61:I68">G61*30/100</f>
        <v>151.73705999999999</v>
      </c>
      <c r="J61" s="6">
        <f aca="true" t="shared" si="7" ref="J61:J68">G61+H61+I61</f>
        <v>810.7816906</v>
      </c>
    </row>
    <row r="62" spans="1:10" ht="33.75">
      <c r="A62" s="4" t="s">
        <v>83</v>
      </c>
      <c r="B62" s="5" t="s">
        <v>84</v>
      </c>
      <c r="C62" s="2" t="s">
        <v>85</v>
      </c>
      <c r="D62" s="2">
        <v>2</v>
      </c>
      <c r="E62" s="2">
        <v>0.0254</v>
      </c>
      <c r="F62" s="2">
        <v>199.13</v>
      </c>
      <c r="G62" s="6">
        <f t="shared" si="5"/>
        <v>5.0579019999999995</v>
      </c>
      <c r="H62" s="6">
        <f aca="true" t="shared" si="8" ref="H62:H70">G62*30.3/100</f>
        <v>1.5325443059999997</v>
      </c>
      <c r="I62" s="6">
        <f t="shared" si="6"/>
        <v>1.5173705999999998</v>
      </c>
      <c r="J62" s="6">
        <f t="shared" si="7"/>
        <v>8.107816905999998</v>
      </c>
    </row>
    <row r="63" spans="1:10" ht="33.75">
      <c r="A63" s="4" t="s">
        <v>86</v>
      </c>
      <c r="B63" s="5" t="s">
        <v>87</v>
      </c>
      <c r="C63" s="2" t="s">
        <v>88</v>
      </c>
      <c r="D63" s="2">
        <v>4</v>
      </c>
      <c r="E63" s="2">
        <v>17.6</v>
      </c>
      <c r="F63" s="2">
        <v>199.13</v>
      </c>
      <c r="G63" s="6">
        <f t="shared" si="5"/>
        <v>3504.688</v>
      </c>
      <c r="H63" s="6">
        <f t="shared" si="8"/>
        <v>1061.920464</v>
      </c>
      <c r="I63" s="6">
        <f t="shared" si="6"/>
        <v>1051.4064</v>
      </c>
      <c r="J63" s="6">
        <f t="shared" si="7"/>
        <v>5618.014864</v>
      </c>
    </row>
    <row r="64" spans="1:10" ht="33.75">
      <c r="A64" s="4" t="s">
        <v>86</v>
      </c>
      <c r="B64" s="5" t="s">
        <v>87</v>
      </c>
      <c r="C64" s="2" t="s">
        <v>85</v>
      </c>
      <c r="D64" s="2">
        <v>4</v>
      </c>
      <c r="E64" s="2">
        <v>0.0176</v>
      </c>
      <c r="F64" s="2">
        <v>199.13</v>
      </c>
      <c r="G64" s="6">
        <f t="shared" si="5"/>
        <v>3.5046880000000002</v>
      </c>
      <c r="H64" s="6">
        <f t="shared" si="8"/>
        <v>1.0619204640000002</v>
      </c>
      <c r="I64" s="6">
        <f t="shared" si="6"/>
        <v>1.0514064</v>
      </c>
      <c r="J64" s="6">
        <f t="shared" si="7"/>
        <v>5.618014864000001</v>
      </c>
    </row>
    <row r="65" spans="1:10" ht="33.75">
      <c r="A65" s="4" t="s">
        <v>89</v>
      </c>
      <c r="B65" s="5" t="s">
        <v>90</v>
      </c>
      <c r="C65" s="2" t="s">
        <v>88</v>
      </c>
      <c r="D65" s="2">
        <v>2</v>
      </c>
      <c r="E65" s="2">
        <v>9.64</v>
      </c>
      <c r="F65" s="2">
        <v>199.13</v>
      </c>
      <c r="G65" s="6">
        <f t="shared" si="5"/>
        <v>1919.6132</v>
      </c>
      <c r="H65" s="6">
        <f t="shared" si="8"/>
        <v>581.6427996</v>
      </c>
      <c r="I65" s="6">
        <f t="shared" si="6"/>
        <v>575.88396</v>
      </c>
      <c r="J65" s="6">
        <f t="shared" si="7"/>
        <v>3077.1399596</v>
      </c>
    </row>
    <row r="66" spans="1:10" ht="33.75">
      <c r="A66" s="4" t="s">
        <v>89</v>
      </c>
      <c r="B66" s="5" t="s">
        <v>90</v>
      </c>
      <c r="C66" s="2" t="s">
        <v>85</v>
      </c>
      <c r="D66" s="2">
        <v>2</v>
      </c>
      <c r="E66" s="2">
        <v>0.0964</v>
      </c>
      <c r="F66" s="2">
        <v>199.13</v>
      </c>
      <c r="G66" s="6">
        <f t="shared" si="5"/>
        <v>19.196132</v>
      </c>
      <c r="H66" s="6">
        <f t="shared" si="8"/>
        <v>5.816427996</v>
      </c>
      <c r="I66" s="6">
        <f t="shared" si="6"/>
        <v>5.7588396</v>
      </c>
      <c r="J66" s="6">
        <f t="shared" si="7"/>
        <v>30.771399596000002</v>
      </c>
    </row>
    <row r="67" spans="1:10" ht="33.75">
      <c r="A67" s="4" t="s">
        <v>91</v>
      </c>
      <c r="B67" s="5" t="s">
        <v>92</v>
      </c>
      <c r="C67" s="2" t="s">
        <v>93</v>
      </c>
      <c r="D67" s="2">
        <v>3.8</v>
      </c>
      <c r="E67" s="2">
        <v>51.6</v>
      </c>
      <c r="F67" s="2">
        <v>199.13</v>
      </c>
      <c r="G67" s="6">
        <f t="shared" si="5"/>
        <v>10275.108</v>
      </c>
      <c r="H67" s="6">
        <f t="shared" si="8"/>
        <v>3113.357724</v>
      </c>
      <c r="I67" s="6">
        <f t="shared" si="6"/>
        <v>3082.5324</v>
      </c>
      <c r="J67" s="6">
        <f t="shared" si="7"/>
        <v>16470.998123999998</v>
      </c>
    </row>
    <row r="68" spans="1:10" ht="33.75">
      <c r="A68" s="4" t="s">
        <v>91</v>
      </c>
      <c r="B68" s="5" t="s">
        <v>92</v>
      </c>
      <c r="C68" s="2" t="s">
        <v>79</v>
      </c>
      <c r="D68" s="2">
        <v>3.8</v>
      </c>
      <c r="E68" s="2">
        <v>0.516</v>
      </c>
      <c r="F68" s="2">
        <v>199.13</v>
      </c>
      <c r="G68" s="6">
        <f t="shared" si="5"/>
        <v>102.75108</v>
      </c>
      <c r="H68" s="6">
        <f t="shared" si="8"/>
        <v>31.13357724</v>
      </c>
      <c r="I68" s="6">
        <f t="shared" si="6"/>
        <v>30.825324000000002</v>
      </c>
      <c r="J68" s="6">
        <f t="shared" si="7"/>
        <v>164.70998124</v>
      </c>
    </row>
    <row r="69" spans="1:10" ht="22.5">
      <c r="A69" s="4" t="s">
        <v>94</v>
      </c>
      <c r="B69" s="5" t="s">
        <v>95</v>
      </c>
      <c r="C69" s="2" t="s">
        <v>19</v>
      </c>
      <c r="D69" s="2">
        <v>2</v>
      </c>
      <c r="E69" s="2">
        <v>0.058</v>
      </c>
      <c r="F69" s="2">
        <v>199.13</v>
      </c>
      <c r="G69" s="6">
        <f aca="true" t="shared" si="9" ref="G69:G87">F69*E69</f>
        <v>11.54954</v>
      </c>
      <c r="H69" s="6">
        <f t="shared" si="8"/>
        <v>3.4995106200000006</v>
      </c>
      <c r="I69" s="6">
        <f aca="true" t="shared" si="10" ref="I69:I87">G69*30/100</f>
        <v>3.464862</v>
      </c>
      <c r="J69" s="6">
        <f aca="true" t="shared" si="11" ref="J69:J87">G69+H69+I69</f>
        <v>18.51391262</v>
      </c>
    </row>
    <row r="70" spans="1:10" ht="33.75">
      <c r="A70" s="4" t="s">
        <v>96</v>
      </c>
      <c r="B70" s="5" t="s">
        <v>97</v>
      </c>
      <c r="C70" s="2" t="s">
        <v>19</v>
      </c>
      <c r="D70" s="2">
        <v>4.2</v>
      </c>
      <c r="E70" s="2">
        <v>0.432</v>
      </c>
      <c r="F70" s="2">
        <v>199.13</v>
      </c>
      <c r="G70" s="6">
        <f t="shared" si="9"/>
        <v>86.02416</v>
      </c>
      <c r="H70" s="6">
        <f t="shared" si="8"/>
        <v>26.06532048</v>
      </c>
      <c r="I70" s="6">
        <f t="shared" si="10"/>
        <v>25.807248</v>
      </c>
      <c r="J70" s="6">
        <f t="shared" si="11"/>
        <v>137.89672847999998</v>
      </c>
    </row>
    <row r="71" spans="1:10" ht="45">
      <c r="A71" s="7" t="s">
        <v>0</v>
      </c>
      <c r="B71" s="7" t="s">
        <v>1</v>
      </c>
      <c r="C71" s="7" t="s">
        <v>2</v>
      </c>
      <c r="D71" s="8" t="s">
        <v>3</v>
      </c>
      <c r="E71" s="8" t="s">
        <v>4</v>
      </c>
      <c r="F71" s="8" t="s">
        <v>5</v>
      </c>
      <c r="G71" s="8" t="s">
        <v>6</v>
      </c>
      <c r="H71" s="8" t="s">
        <v>209</v>
      </c>
      <c r="I71" s="8" t="s">
        <v>7</v>
      </c>
      <c r="J71" s="8" t="s">
        <v>8</v>
      </c>
    </row>
    <row r="72" spans="1:10" ht="12.75">
      <c r="A72" s="7">
        <v>1</v>
      </c>
      <c r="B72" s="7">
        <v>2</v>
      </c>
      <c r="C72" s="7">
        <v>3</v>
      </c>
      <c r="D72" s="8">
        <v>4</v>
      </c>
      <c r="E72" s="8">
        <v>5</v>
      </c>
      <c r="F72" s="8">
        <v>6</v>
      </c>
      <c r="G72" s="8">
        <v>7</v>
      </c>
      <c r="H72" s="8">
        <v>8</v>
      </c>
      <c r="I72" s="8">
        <v>9</v>
      </c>
      <c r="J72" s="8">
        <v>10</v>
      </c>
    </row>
    <row r="73" spans="1:10" ht="12.75" hidden="1">
      <c r="A73" s="4"/>
      <c r="B73" s="5"/>
      <c r="C73" s="2"/>
      <c r="D73" s="2"/>
      <c r="E73" s="2"/>
      <c r="F73" s="2"/>
      <c r="G73" s="6"/>
      <c r="H73" s="6"/>
      <c r="I73" s="6"/>
      <c r="J73" s="6"/>
    </row>
    <row r="74" spans="1:10" ht="22.5">
      <c r="A74" s="4" t="s">
        <v>98</v>
      </c>
      <c r="B74" s="5" t="s">
        <v>99</v>
      </c>
      <c r="C74" s="2" t="s">
        <v>19</v>
      </c>
      <c r="D74" s="2">
        <v>4</v>
      </c>
      <c r="E74" s="2">
        <v>0.891</v>
      </c>
      <c r="F74" s="2">
        <v>199.13</v>
      </c>
      <c r="G74" s="6">
        <f t="shared" si="9"/>
        <v>177.42483</v>
      </c>
      <c r="H74" s="6">
        <f>G74*30.3/100</f>
        <v>53.75972349</v>
      </c>
      <c r="I74" s="6">
        <f t="shared" si="10"/>
        <v>53.227449</v>
      </c>
      <c r="J74" s="6">
        <f t="shared" si="11"/>
        <v>284.41200248999996</v>
      </c>
    </row>
    <row r="75" spans="1:10" ht="33.75">
      <c r="A75" s="4" t="s">
        <v>100</v>
      </c>
      <c r="B75" s="5" t="s">
        <v>101</v>
      </c>
      <c r="C75" s="2" t="s">
        <v>19</v>
      </c>
      <c r="D75" s="2">
        <v>4</v>
      </c>
      <c r="E75" s="2">
        <v>1.633</v>
      </c>
      <c r="F75" s="2">
        <v>199.13</v>
      </c>
      <c r="G75" s="6">
        <f t="shared" si="9"/>
        <v>325.17929</v>
      </c>
      <c r="H75" s="6">
        <f aca="true" t="shared" si="12" ref="H75:H89">G75*30.3/100</f>
        <v>98.52932487</v>
      </c>
      <c r="I75" s="6">
        <f t="shared" si="10"/>
        <v>97.553787</v>
      </c>
      <c r="J75" s="6">
        <f t="shared" si="11"/>
        <v>521.26240187</v>
      </c>
    </row>
    <row r="76" spans="1:10" ht="22.5">
      <c r="A76" s="4" t="s">
        <v>102</v>
      </c>
      <c r="B76" s="5" t="s">
        <v>103</v>
      </c>
      <c r="C76" s="2" t="s">
        <v>19</v>
      </c>
      <c r="D76" s="2">
        <v>3.9</v>
      </c>
      <c r="E76" s="2">
        <v>2.56</v>
      </c>
      <c r="F76" s="2">
        <v>199.13</v>
      </c>
      <c r="G76" s="6">
        <f t="shared" si="9"/>
        <v>509.7728</v>
      </c>
      <c r="H76" s="6">
        <f t="shared" si="12"/>
        <v>154.46115840000002</v>
      </c>
      <c r="I76" s="6">
        <f t="shared" si="10"/>
        <v>152.93184000000002</v>
      </c>
      <c r="J76" s="6">
        <f t="shared" si="11"/>
        <v>817.1657984000001</v>
      </c>
    </row>
    <row r="77" spans="1:10" ht="43.5" customHeight="1">
      <c r="A77" s="4" t="s">
        <v>104</v>
      </c>
      <c r="B77" s="5" t="s">
        <v>105</v>
      </c>
      <c r="C77" s="2" t="s">
        <v>19</v>
      </c>
      <c r="D77" s="2">
        <v>4</v>
      </c>
      <c r="E77" s="2">
        <v>3.76</v>
      </c>
      <c r="F77" s="2">
        <v>199.13</v>
      </c>
      <c r="G77" s="6">
        <f t="shared" si="9"/>
        <v>748.7288</v>
      </c>
      <c r="H77" s="6">
        <f t="shared" si="12"/>
        <v>226.86482639999997</v>
      </c>
      <c r="I77" s="6">
        <f t="shared" si="10"/>
        <v>224.61863999999997</v>
      </c>
      <c r="J77" s="6">
        <f t="shared" si="11"/>
        <v>1200.2122663999999</v>
      </c>
    </row>
    <row r="78" spans="1:10" ht="22.5">
      <c r="A78" s="4" t="s">
        <v>106</v>
      </c>
      <c r="B78" s="5" t="s">
        <v>107</v>
      </c>
      <c r="C78" s="2" t="s">
        <v>19</v>
      </c>
      <c r="D78" s="2">
        <v>4.2</v>
      </c>
      <c r="E78" s="2">
        <v>3.36</v>
      </c>
      <c r="F78" s="2">
        <v>199.13</v>
      </c>
      <c r="G78" s="6">
        <f t="shared" si="9"/>
        <v>669.0767999999999</v>
      </c>
      <c r="H78" s="6">
        <f t="shared" si="12"/>
        <v>202.73027039999997</v>
      </c>
      <c r="I78" s="6">
        <f t="shared" si="10"/>
        <v>200.72303999999997</v>
      </c>
      <c r="J78" s="6">
        <f t="shared" si="11"/>
        <v>1072.5301104</v>
      </c>
    </row>
    <row r="79" spans="1:10" ht="22.5">
      <c r="A79" s="4" t="s">
        <v>108</v>
      </c>
      <c r="B79" s="5" t="s">
        <v>109</v>
      </c>
      <c r="C79" s="2" t="s">
        <v>112</v>
      </c>
      <c r="D79" s="2">
        <v>4</v>
      </c>
      <c r="E79" s="2">
        <v>4.831</v>
      </c>
      <c r="F79" s="2">
        <v>199.13</v>
      </c>
      <c r="G79" s="6">
        <f t="shared" si="9"/>
        <v>961.9970300000001</v>
      </c>
      <c r="H79" s="6">
        <f t="shared" si="12"/>
        <v>291.48510009000006</v>
      </c>
      <c r="I79" s="6">
        <f t="shared" si="10"/>
        <v>288.599109</v>
      </c>
      <c r="J79" s="6">
        <f t="shared" si="11"/>
        <v>1542.0812390900003</v>
      </c>
    </row>
    <row r="80" spans="1:10" ht="22.5">
      <c r="A80" s="4" t="s">
        <v>110</v>
      </c>
      <c r="B80" s="5" t="s">
        <v>111</v>
      </c>
      <c r="C80" s="2" t="s">
        <v>19</v>
      </c>
      <c r="D80" s="2">
        <v>4.2</v>
      </c>
      <c r="E80" s="2">
        <v>1.14</v>
      </c>
      <c r="F80" s="2">
        <v>199.13</v>
      </c>
      <c r="G80" s="6">
        <f t="shared" si="9"/>
        <v>227.0082</v>
      </c>
      <c r="H80" s="6">
        <f t="shared" si="12"/>
        <v>68.78348460000001</v>
      </c>
      <c r="I80" s="6">
        <f t="shared" si="10"/>
        <v>68.10246</v>
      </c>
      <c r="J80" s="6">
        <f t="shared" si="11"/>
        <v>363.8941446</v>
      </c>
    </row>
    <row r="81" spans="1:10" ht="12.75">
      <c r="A81" s="4"/>
      <c r="B81" s="5"/>
      <c r="C81" s="2"/>
      <c r="D81" s="2"/>
      <c r="E81" s="2"/>
      <c r="F81" s="2"/>
      <c r="G81" s="6"/>
      <c r="H81" s="6">
        <f t="shared" si="12"/>
        <v>0</v>
      </c>
      <c r="I81" s="6"/>
      <c r="J81" s="6"/>
    </row>
    <row r="82" spans="1:10" ht="22.5">
      <c r="A82" s="4" t="s">
        <v>113</v>
      </c>
      <c r="B82" s="5" t="s">
        <v>114</v>
      </c>
      <c r="C82" s="2" t="s">
        <v>112</v>
      </c>
      <c r="D82" s="2">
        <v>2</v>
      </c>
      <c r="E82" s="2">
        <v>0.396</v>
      </c>
      <c r="F82" s="2">
        <v>199.13</v>
      </c>
      <c r="G82" s="6">
        <f t="shared" si="9"/>
        <v>78.85548</v>
      </c>
      <c r="H82" s="6">
        <f t="shared" si="12"/>
        <v>23.893210440000004</v>
      </c>
      <c r="I82" s="6">
        <f t="shared" si="10"/>
        <v>23.656644</v>
      </c>
      <c r="J82" s="6">
        <f t="shared" si="11"/>
        <v>126.40533444</v>
      </c>
    </row>
    <row r="83" spans="1:10" ht="33.75">
      <c r="A83" s="4" t="s">
        <v>115</v>
      </c>
      <c r="B83" s="5" t="s">
        <v>116</v>
      </c>
      <c r="C83" s="2" t="s">
        <v>112</v>
      </c>
      <c r="D83" s="2">
        <v>4.2</v>
      </c>
      <c r="E83" s="2">
        <v>0.88</v>
      </c>
      <c r="F83" s="2">
        <v>199.13</v>
      </c>
      <c r="G83" s="6">
        <f t="shared" si="9"/>
        <v>175.2344</v>
      </c>
      <c r="H83" s="6">
        <f t="shared" si="12"/>
        <v>53.0960232</v>
      </c>
      <c r="I83" s="6">
        <f t="shared" si="10"/>
        <v>52.57032</v>
      </c>
      <c r="J83" s="6">
        <f t="shared" si="11"/>
        <v>280.90074319999997</v>
      </c>
    </row>
    <row r="84" spans="1:10" ht="22.5">
      <c r="A84" s="4" t="s">
        <v>120</v>
      </c>
      <c r="B84" s="5" t="s">
        <v>117</v>
      </c>
      <c r="C84" s="2" t="s">
        <v>112</v>
      </c>
      <c r="D84" s="2">
        <v>4</v>
      </c>
      <c r="E84" s="2">
        <v>0.873</v>
      </c>
      <c r="F84" s="2">
        <v>199.13</v>
      </c>
      <c r="G84" s="6">
        <f t="shared" si="9"/>
        <v>173.84049</v>
      </c>
      <c r="H84" s="6">
        <f t="shared" si="12"/>
        <v>52.673668469999996</v>
      </c>
      <c r="I84" s="6">
        <f t="shared" si="10"/>
        <v>52.15214699999999</v>
      </c>
      <c r="J84" s="6">
        <f t="shared" si="11"/>
        <v>278.66630547</v>
      </c>
    </row>
    <row r="85" spans="1:10" ht="22.5">
      <c r="A85" s="3" t="s">
        <v>118</v>
      </c>
      <c r="B85" s="5" t="s">
        <v>119</v>
      </c>
      <c r="C85" s="2" t="s">
        <v>112</v>
      </c>
      <c r="D85" s="2">
        <v>3</v>
      </c>
      <c r="E85" s="2">
        <v>0.257</v>
      </c>
      <c r="F85" s="2">
        <v>199.13</v>
      </c>
      <c r="G85" s="6">
        <f t="shared" si="9"/>
        <v>51.17641</v>
      </c>
      <c r="H85" s="6">
        <f t="shared" si="12"/>
        <v>15.50645223</v>
      </c>
      <c r="I85" s="6">
        <f t="shared" si="10"/>
        <v>15.352922999999999</v>
      </c>
      <c r="J85" s="6">
        <f t="shared" si="11"/>
        <v>82.03578523</v>
      </c>
    </row>
    <row r="86" spans="1:10" ht="22.5">
      <c r="A86" s="3" t="s">
        <v>121</v>
      </c>
      <c r="B86" s="5" t="s">
        <v>122</v>
      </c>
      <c r="C86" s="2" t="s">
        <v>112</v>
      </c>
      <c r="D86" s="2">
        <v>4.2</v>
      </c>
      <c r="E86" s="2">
        <v>0.34</v>
      </c>
      <c r="F86" s="2">
        <v>199.13</v>
      </c>
      <c r="G86" s="6">
        <f t="shared" si="9"/>
        <v>67.7042</v>
      </c>
      <c r="H86" s="6">
        <f t="shared" si="12"/>
        <v>20.5143726</v>
      </c>
      <c r="I86" s="6">
        <f t="shared" si="10"/>
        <v>20.31126</v>
      </c>
      <c r="J86" s="6">
        <f t="shared" si="11"/>
        <v>108.5298326</v>
      </c>
    </row>
    <row r="87" spans="1:10" ht="33.75">
      <c r="A87" s="4" t="s">
        <v>123</v>
      </c>
      <c r="B87" s="5" t="s">
        <v>124</v>
      </c>
      <c r="C87" s="2" t="s">
        <v>88</v>
      </c>
      <c r="D87" s="2">
        <v>3.8</v>
      </c>
      <c r="E87" s="2">
        <v>23.8</v>
      </c>
      <c r="F87" s="2">
        <v>199.13</v>
      </c>
      <c r="G87" s="6">
        <f t="shared" si="9"/>
        <v>4739.294</v>
      </c>
      <c r="H87" s="6">
        <f t="shared" si="12"/>
        <v>1436.0060819999999</v>
      </c>
      <c r="I87" s="6">
        <f t="shared" si="10"/>
        <v>1421.7882</v>
      </c>
      <c r="J87" s="6">
        <f t="shared" si="11"/>
        <v>7597.088282</v>
      </c>
    </row>
    <row r="88" spans="1:10" ht="33.75">
      <c r="A88" s="4" t="s">
        <v>123</v>
      </c>
      <c r="B88" s="5" t="s">
        <v>124</v>
      </c>
      <c r="C88" s="2" t="s">
        <v>85</v>
      </c>
      <c r="D88" s="2">
        <v>3.8</v>
      </c>
      <c r="E88" s="2">
        <v>0.238</v>
      </c>
      <c r="F88" s="2">
        <v>199.13</v>
      </c>
      <c r="G88" s="6">
        <f>F88*E88</f>
        <v>47.392939999999996</v>
      </c>
      <c r="H88" s="6">
        <f t="shared" si="12"/>
        <v>14.36006082</v>
      </c>
      <c r="I88" s="6">
        <f>G88*30/100</f>
        <v>14.217882</v>
      </c>
      <c r="J88" s="6">
        <f>G88+H88+I88</f>
        <v>75.97088282</v>
      </c>
    </row>
    <row r="89" spans="1:10" ht="22.5">
      <c r="A89" s="4" t="s">
        <v>125</v>
      </c>
      <c r="B89" s="5" t="s">
        <v>126</v>
      </c>
      <c r="C89" s="2" t="s">
        <v>112</v>
      </c>
      <c r="D89" s="2">
        <v>4.2</v>
      </c>
      <c r="E89" s="2">
        <v>0.765</v>
      </c>
      <c r="F89" s="2">
        <v>199.13</v>
      </c>
      <c r="G89" s="6">
        <f>F89*E89</f>
        <v>152.33445</v>
      </c>
      <c r="H89" s="6">
        <f t="shared" si="12"/>
        <v>46.15733835</v>
      </c>
      <c r="I89" s="6">
        <f>G89*30/100</f>
        <v>45.700335</v>
      </c>
      <c r="J89" s="6">
        <f>G89+H89+I89</f>
        <v>244.19212335</v>
      </c>
    </row>
    <row r="90" spans="1:10" ht="12.75">
      <c r="A90" s="62" t="s">
        <v>127</v>
      </c>
      <c r="B90" s="63"/>
      <c r="C90" s="63"/>
      <c r="D90" s="63"/>
      <c r="E90" s="63"/>
      <c r="F90" s="63"/>
      <c r="G90" s="63"/>
      <c r="H90" s="63"/>
      <c r="I90" s="63"/>
      <c r="J90" s="64"/>
    </row>
    <row r="91" spans="1:10" ht="12.75">
      <c r="A91" s="4" t="s">
        <v>128</v>
      </c>
      <c r="B91" s="18"/>
      <c r="C91" s="5" t="s">
        <v>129</v>
      </c>
      <c r="D91" s="2">
        <v>3</v>
      </c>
      <c r="E91" s="2">
        <v>0.5</v>
      </c>
      <c r="F91" s="2">
        <v>199.13</v>
      </c>
      <c r="G91" s="6">
        <f aca="true" t="shared" si="13" ref="G91:G116">F91*E91</f>
        <v>99.565</v>
      </c>
      <c r="H91" s="6">
        <f aca="true" t="shared" si="14" ref="H91:H96">G91*30.3/100</f>
        <v>30.168195</v>
      </c>
      <c r="I91" s="6">
        <f aca="true" t="shared" si="15" ref="I91:I116">G91*30/100</f>
        <v>29.8695</v>
      </c>
      <c r="J91" s="6">
        <f aca="true" t="shared" si="16" ref="J91:J116">G91+H91+I91</f>
        <v>159.60269499999998</v>
      </c>
    </row>
    <row r="92" spans="1:10" ht="12.75">
      <c r="A92" s="4" t="s">
        <v>130</v>
      </c>
      <c r="B92" s="5"/>
      <c r="C92" s="2" t="s">
        <v>112</v>
      </c>
      <c r="D92" s="2">
        <v>3</v>
      </c>
      <c r="E92" s="2">
        <v>0.117</v>
      </c>
      <c r="F92" s="2">
        <v>199.13</v>
      </c>
      <c r="G92" s="6">
        <f t="shared" si="13"/>
        <v>23.29821</v>
      </c>
      <c r="H92" s="6">
        <f t="shared" si="14"/>
        <v>7.059357630000001</v>
      </c>
      <c r="I92" s="6">
        <f t="shared" si="15"/>
        <v>6.989463000000001</v>
      </c>
      <c r="J92" s="6">
        <f t="shared" si="16"/>
        <v>37.347030630000006</v>
      </c>
    </row>
    <row r="93" spans="1:10" ht="12.75">
      <c r="A93" s="4" t="s">
        <v>131</v>
      </c>
      <c r="B93" s="5"/>
      <c r="C93" s="2" t="s">
        <v>112</v>
      </c>
      <c r="D93" s="2">
        <v>3</v>
      </c>
      <c r="E93" s="2">
        <v>0.083</v>
      </c>
      <c r="F93" s="2">
        <v>199.13</v>
      </c>
      <c r="G93" s="6">
        <f t="shared" si="13"/>
        <v>16.52779</v>
      </c>
      <c r="H93" s="6">
        <f t="shared" si="14"/>
        <v>5.00792037</v>
      </c>
      <c r="I93" s="6">
        <f t="shared" si="15"/>
        <v>4.958336999999999</v>
      </c>
      <c r="J93" s="6">
        <f t="shared" si="16"/>
        <v>26.49404737</v>
      </c>
    </row>
    <row r="94" spans="1:10" ht="22.5">
      <c r="A94" s="4" t="s">
        <v>132</v>
      </c>
      <c r="B94" s="5"/>
      <c r="C94" s="2" t="s">
        <v>112</v>
      </c>
      <c r="D94" s="2">
        <v>3</v>
      </c>
      <c r="E94" s="2">
        <v>0.5</v>
      </c>
      <c r="F94" s="2">
        <v>199.13</v>
      </c>
      <c r="G94" s="6">
        <f t="shared" si="13"/>
        <v>99.565</v>
      </c>
      <c r="H94" s="6">
        <f t="shared" si="14"/>
        <v>30.168195</v>
      </c>
      <c r="I94" s="6">
        <f t="shared" si="15"/>
        <v>29.8695</v>
      </c>
      <c r="J94" s="6">
        <f t="shared" si="16"/>
        <v>159.60269499999998</v>
      </c>
    </row>
    <row r="95" spans="1:10" ht="33.75">
      <c r="A95" s="4" t="s">
        <v>133</v>
      </c>
      <c r="B95" s="5"/>
      <c r="C95" s="2" t="s">
        <v>112</v>
      </c>
      <c r="D95" s="2">
        <v>3</v>
      </c>
      <c r="E95" s="2">
        <v>0.3</v>
      </c>
      <c r="F95" s="2">
        <v>199.13</v>
      </c>
      <c r="G95" s="6">
        <f t="shared" si="13"/>
        <v>59.739</v>
      </c>
      <c r="H95" s="6">
        <f t="shared" si="14"/>
        <v>18.100917</v>
      </c>
      <c r="I95" s="6">
        <f t="shared" si="15"/>
        <v>17.921699999999998</v>
      </c>
      <c r="J95" s="6">
        <f t="shared" si="16"/>
        <v>95.761617</v>
      </c>
    </row>
    <row r="96" spans="1:10" ht="22.5">
      <c r="A96" s="4" t="s">
        <v>134</v>
      </c>
      <c r="B96" s="5"/>
      <c r="C96" s="5" t="s">
        <v>135</v>
      </c>
      <c r="D96" s="2">
        <v>3</v>
      </c>
      <c r="E96" s="2">
        <v>2.16</v>
      </c>
      <c r="F96" s="2">
        <v>199.13</v>
      </c>
      <c r="G96" s="6">
        <f t="shared" si="13"/>
        <v>430.12080000000003</v>
      </c>
      <c r="H96" s="6">
        <f t="shared" si="14"/>
        <v>130.3266024</v>
      </c>
      <c r="I96" s="6">
        <f t="shared" si="15"/>
        <v>129.03624000000002</v>
      </c>
      <c r="J96" s="6">
        <f t="shared" si="16"/>
        <v>689.4836424000001</v>
      </c>
    </row>
    <row r="97" spans="1:10" ht="12.75">
      <c r="A97" s="62" t="s">
        <v>136</v>
      </c>
      <c r="B97" s="63"/>
      <c r="C97" s="63"/>
      <c r="D97" s="63"/>
      <c r="E97" s="63"/>
      <c r="F97" s="63"/>
      <c r="G97" s="63"/>
      <c r="H97" s="63"/>
      <c r="I97" s="63"/>
      <c r="J97" s="64"/>
    </row>
    <row r="98" spans="1:10" ht="22.5">
      <c r="A98" s="4" t="s">
        <v>137</v>
      </c>
      <c r="B98" s="5" t="s">
        <v>138</v>
      </c>
      <c r="C98" s="2" t="s">
        <v>112</v>
      </c>
      <c r="D98" s="2">
        <v>3</v>
      </c>
      <c r="E98" s="2">
        <v>0.88</v>
      </c>
      <c r="F98" s="2">
        <v>164.79</v>
      </c>
      <c r="G98" s="6">
        <f t="shared" si="13"/>
        <v>145.0152</v>
      </c>
      <c r="H98" s="6">
        <f>G98*30.3/100</f>
        <v>43.93960559999999</v>
      </c>
      <c r="I98" s="6">
        <f t="shared" si="15"/>
        <v>43.50456</v>
      </c>
      <c r="J98" s="6">
        <f t="shared" si="16"/>
        <v>232.45936559999998</v>
      </c>
    </row>
    <row r="99" spans="1:10" ht="22.5">
      <c r="A99" s="4" t="s">
        <v>139</v>
      </c>
      <c r="B99" s="5" t="s">
        <v>140</v>
      </c>
      <c r="C99" s="2" t="s">
        <v>112</v>
      </c>
      <c r="D99" s="2">
        <v>3</v>
      </c>
      <c r="E99" s="2">
        <v>1.28</v>
      </c>
      <c r="F99" s="2">
        <v>164.79</v>
      </c>
      <c r="G99" s="6">
        <f t="shared" si="13"/>
        <v>210.9312</v>
      </c>
      <c r="H99" s="6">
        <f aca="true" t="shared" si="17" ref="H99:H106">G99*30.3/100</f>
        <v>63.9121536</v>
      </c>
      <c r="I99" s="6">
        <f t="shared" si="15"/>
        <v>63.27936</v>
      </c>
      <c r="J99" s="6">
        <f t="shared" si="16"/>
        <v>338.1227136</v>
      </c>
    </row>
    <row r="100" spans="1:10" ht="22.5">
      <c r="A100" s="4" t="s">
        <v>141</v>
      </c>
      <c r="B100" s="5" t="s">
        <v>142</v>
      </c>
      <c r="C100" s="2" t="s">
        <v>112</v>
      </c>
      <c r="D100" s="2">
        <v>3</v>
      </c>
      <c r="E100" s="2">
        <v>0.3</v>
      </c>
      <c r="F100" s="2">
        <v>164.79</v>
      </c>
      <c r="G100" s="6">
        <f t="shared" si="13"/>
        <v>49.437</v>
      </c>
      <c r="H100" s="6">
        <f t="shared" si="17"/>
        <v>14.979411</v>
      </c>
      <c r="I100" s="6">
        <f t="shared" si="15"/>
        <v>14.8311</v>
      </c>
      <c r="J100" s="6">
        <f t="shared" si="16"/>
        <v>79.247511</v>
      </c>
    </row>
    <row r="101" spans="1:10" ht="12.75">
      <c r="A101" s="3" t="s">
        <v>143</v>
      </c>
      <c r="B101" s="5" t="s">
        <v>144</v>
      </c>
      <c r="C101" s="2" t="s">
        <v>112</v>
      </c>
      <c r="D101" s="2">
        <v>3</v>
      </c>
      <c r="E101" s="2">
        <v>0.39</v>
      </c>
      <c r="F101" s="2">
        <v>164.79</v>
      </c>
      <c r="G101" s="6">
        <f t="shared" si="13"/>
        <v>64.2681</v>
      </c>
      <c r="H101" s="6">
        <f t="shared" si="17"/>
        <v>19.4732343</v>
      </c>
      <c r="I101" s="6">
        <f t="shared" si="15"/>
        <v>19.280430000000003</v>
      </c>
      <c r="J101" s="6">
        <f t="shared" si="16"/>
        <v>103.0217643</v>
      </c>
    </row>
    <row r="102" spans="1:10" ht="22.5">
      <c r="A102" s="4" t="s">
        <v>145</v>
      </c>
      <c r="B102" s="5" t="s">
        <v>146</v>
      </c>
      <c r="C102" s="2" t="s">
        <v>112</v>
      </c>
      <c r="D102" s="2">
        <v>3</v>
      </c>
      <c r="E102" s="2">
        <v>3.99</v>
      </c>
      <c r="F102" s="2">
        <v>164.79</v>
      </c>
      <c r="G102" s="6">
        <f t="shared" si="13"/>
        <v>657.5121</v>
      </c>
      <c r="H102" s="6">
        <f t="shared" si="17"/>
        <v>199.22616630000002</v>
      </c>
      <c r="I102" s="6">
        <f t="shared" si="15"/>
        <v>197.25363000000002</v>
      </c>
      <c r="J102" s="6">
        <f t="shared" si="16"/>
        <v>1053.9918963</v>
      </c>
    </row>
    <row r="103" spans="1:10" ht="33.75">
      <c r="A103" s="4" t="s">
        <v>147</v>
      </c>
      <c r="B103" s="5" t="s">
        <v>148</v>
      </c>
      <c r="C103" s="5" t="s">
        <v>149</v>
      </c>
      <c r="D103" s="2">
        <v>3.3</v>
      </c>
      <c r="E103" s="2">
        <v>2.21</v>
      </c>
      <c r="F103" s="2">
        <v>164.79</v>
      </c>
      <c r="G103" s="6">
        <f t="shared" si="13"/>
        <v>364.1859</v>
      </c>
      <c r="H103" s="6">
        <f t="shared" si="17"/>
        <v>110.34832770000001</v>
      </c>
      <c r="I103" s="6">
        <f t="shared" si="15"/>
        <v>109.25577</v>
      </c>
      <c r="J103" s="6">
        <f t="shared" si="16"/>
        <v>583.7899977000001</v>
      </c>
    </row>
    <row r="104" spans="1:10" ht="22.5">
      <c r="A104" s="4" t="s">
        <v>150</v>
      </c>
      <c r="B104" s="5" t="s">
        <v>151</v>
      </c>
      <c r="C104" s="2" t="s">
        <v>112</v>
      </c>
      <c r="D104" s="2">
        <v>4</v>
      </c>
      <c r="E104" s="2">
        <v>0.5</v>
      </c>
      <c r="F104" s="2">
        <v>164.79</v>
      </c>
      <c r="G104" s="6">
        <f t="shared" si="13"/>
        <v>82.395</v>
      </c>
      <c r="H104" s="6">
        <f t="shared" si="17"/>
        <v>24.965684999999997</v>
      </c>
      <c r="I104" s="6">
        <f t="shared" si="15"/>
        <v>24.7185</v>
      </c>
      <c r="J104" s="6">
        <f t="shared" si="16"/>
        <v>132.079185</v>
      </c>
    </row>
    <row r="105" spans="1:10" ht="33.75">
      <c r="A105" s="4" t="s">
        <v>156</v>
      </c>
      <c r="B105" s="5" t="s">
        <v>152</v>
      </c>
      <c r="C105" s="2" t="s">
        <v>153</v>
      </c>
      <c r="D105" s="2">
        <v>4</v>
      </c>
      <c r="E105" s="2">
        <v>5.87</v>
      </c>
      <c r="F105" s="2">
        <v>164.79</v>
      </c>
      <c r="G105" s="6">
        <f t="shared" si="13"/>
        <v>967.3172999999999</v>
      </c>
      <c r="H105" s="6">
        <f t="shared" si="17"/>
        <v>293.0971419</v>
      </c>
      <c r="I105" s="6">
        <f t="shared" si="15"/>
        <v>290.19518999999997</v>
      </c>
      <c r="J105" s="6">
        <f t="shared" si="16"/>
        <v>1550.6096318999998</v>
      </c>
    </row>
    <row r="106" spans="1:10" ht="22.5">
      <c r="A106" s="4" t="s">
        <v>154</v>
      </c>
      <c r="B106" s="5" t="s">
        <v>155</v>
      </c>
      <c r="C106" s="2" t="s">
        <v>52</v>
      </c>
      <c r="D106" s="2">
        <v>2.5</v>
      </c>
      <c r="E106" s="2">
        <v>1.74</v>
      </c>
      <c r="F106" s="2">
        <v>164.79</v>
      </c>
      <c r="G106" s="6">
        <f t="shared" si="13"/>
        <v>286.7346</v>
      </c>
      <c r="H106" s="6">
        <f t="shared" si="17"/>
        <v>86.88058380000001</v>
      </c>
      <c r="I106" s="6">
        <f t="shared" si="15"/>
        <v>86.02038</v>
      </c>
      <c r="J106" s="6">
        <f t="shared" si="16"/>
        <v>459.6355638</v>
      </c>
    </row>
    <row r="107" spans="1:10" ht="12.75">
      <c r="A107" s="4"/>
      <c r="B107" s="5"/>
      <c r="C107" s="2"/>
      <c r="D107" s="2"/>
      <c r="E107" s="2"/>
      <c r="F107" s="2"/>
      <c r="G107" s="6"/>
      <c r="H107" s="6"/>
      <c r="I107" s="6"/>
      <c r="J107" s="6"/>
    </row>
    <row r="108" spans="1:10" ht="12.75">
      <c r="A108" s="4"/>
      <c r="B108" s="5"/>
      <c r="C108" s="2"/>
      <c r="D108" s="2"/>
      <c r="E108" s="2"/>
      <c r="F108" s="2"/>
      <c r="G108" s="6"/>
      <c r="H108" s="6"/>
      <c r="I108" s="6"/>
      <c r="J108" s="6"/>
    </row>
    <row r="109" spans="1:10" ht="12.75">
      <c r="A109" s="4"/>
      <c r="B109" s="5"/>
      <c r="C109" s="2"/>
      <c r="D109" s="2"/>
      <c r="E109" s="2"/>
      <c r="F109" s="2"/>
      <c r="G109" s="6"/>
      <c r="H109" s="6"/>
      <c r="I109" s="6"/>
      <c r="J109" s="6"/>
    </row>
    <row r="110" spans="1:10" ht="45">
      <c r="A110" s="7" t="s">
        <v>0</v>
      </c>
      <c r="B110" s="7" t="s">
        <v>1</v>
      </c>
      <c r="C110" s="7" t="s">
        <v>2</v>
      </c>
      <c r="D110" s="8" t="s">
        <v>3</v>
      </c>
      <c r="E110" s="8" t="s">
        <v>4</v>
      </c>
      <c r="F110" s="8" t="s">
        <v>5</v>
      </c>
      <c r="G110" s="8" t="s">
        <v>6</v>
      </c>
      <c r="H110" s="8" t="s">
        <v>209</v>
      </c>
      <c r="I110" s="8" t="s">
        <v>7</v>
      </c>
      <c r="J110" s="8" t="s">
        <v>8</v>
      </c>
    </row>
    <row r="111" spans="1:10" ht="12.75">
      <c r="A111" s="7">
        <v>1</v>
      </c>
      <c r="B111" s="7">
        <v>2</v>
      </c>
      <c r="C111" s="7">
        <v>3</v>
      </c>
      <c r="D111" s="8">
        <v>4</v>
      </c>
      <c r="E111" s="8">
        <v>5</v>
      </c>
      <c r="F111" s="8">
        <v>6</v>
      </c>
      <c r="G111" s="8">
        <v>7</v>
      </c>
      <c r="H111" s="8">
        <v>8</v>
      </c>
      <c r="I111" s="8">
        <v>9</v>
      </c>
      <c r="J111" s="8">
        <v>10</v>
      </c>
    </row>
    <row r="112" spans="1:10" ht="45">
      <c r="A112" s="4" t="s">
        <v>157</v>
      </c>
      <c r="B112" s="5" t="s">
        <v>158</v>
      </c>
      <c r="C112" s="2" t="s">
        <v>153</v>
      </c>
      <c r="D112" s="2">
        <v>3.6</v>
      </c>
      <c r="E112" s="2">
        <v>5.05</v>
      </c>
      <c r="F112" s="2">
        <v>164.79</v>
      </c>
      <c r="G112" s="6">
        <f t="shared" si="13"/>
        <v>832.1895</v>
      </c>
      <c r="H112" s="6">
        <f aca="true" t="shared" si="18" ref="H112:H117">G112*30.3/100</f>
        <v>252.15341850000002</v>
      </c>
      <c r="I112" s="6">
        <f t="shared" si="15"/>
        <v>249.65684999999996</v>
      </c>
      <c r="J112" s="6">
        <f t="shared" si="16"/>
        <v>1333.9997684999998</v>
      </c>
    </row>
    <row r="113" spans="1:10" ht="33.75">
      <c r="A113" s="4" t="s">
        <v>159</v>
      </c>
      <c r="B113" s="5" t="s">
        <v>160</v>
      </c>
      <c r="C113" s="2" t="s">
        <v>153</v>
      </c>
      <c r="D113" s="2">
        <v>3.6</v>
      </c>
      <c r="E113" s="2">
        <v>2.08</v>
      </c>
      <c r="F113" s="2">
        <v>164.79</v>
      </c>
      <c r="G113" s="6">
        <f t="shared" si="13"/>
        <v>342.7632</v>
      </c>
      <c r="H113" s="6">
        <f t="shared" si="18"/>
        <v>103.85724959999999</v>
      </c>
      <c r="I113" s="6">
        <f t="shared" si="15"/>
        <v>102.82896</v>
      </c>
      <c r="J113" s="6">
        <f t="shared" si="16"/>
        <v>549.4494096</v>
      </c>
    </row>
    <row r="114" spans="1:10" ht="33.75">
      <c r="A114" s="4" t="s">
        <v>161</v>
      </c>
      <c r="B114" s="5" t="s">
        <v>162</v>
      </c>
      <c r="C114" s="2" t="s">
        <v>153</v>
      </c>
      <c r="D114" s="2">
        <v>3.4</v>
      </c>
      <c r="E114" s="2">
        <v>2.19</v>
      </c>
      <c r="F114" s="2">
        <v>164.79</v>
      </c>
      <c r="G114" s="6">
        <f t="shared" si="13"/>
        <v>360.89009999999996</v>
      </c>
      <c r="H114" s="6">
        <f t="shared" si="18"/>
        <v>109.34970029999998</v>
      </c>
      <c r="I114" s="6">
        <f t="shared" si="15"/>
        <v>108.26702999999999</v>
      </c>
      <c r="J114" s="6">
        <f t="shared" si="16"/>
        <v>578.5068302999999</v>
      </c>
    </row>
    <row r="115" spans="1:10" ht="22.5">
      <c r="A115" s="4" t="s">
        <v>163</v>
      </c>
      <c r="B115" s="5" t="s">
        <v>164</v>
      </c>
      <c r="C115" s="2" t="s">
        <v>153</v>
      </c>
      <c r="D115" s="2">
        <v>3</v>
      </c>
      <c r="E115" s="2">
        <v>0.7</v>
      </c>
      <c r="F115" s="2">
        <v>164.79</v>
      </c>
      <c r="G115" s="6">
        <f t="shared" si="13"/>
        <v>115.35299999999998</v>
      </c>
      <c r="H115" s="6">
        <f t="shared" si="18"/>
        <v>34.951958999999995</v>
      </c>
      <c r="I115" s="6">
        <f t="shared" si="15"/>
        <v>34.60589999999999</v>
      </c>
      <c r="J115" s="6">
        <f t="shared" si="16"/>
        <v>184.91085899999996</v>
      </c>
    </row>
    <row r="116" spans="1:10" ht="22.5">
      <c r="A116" s="4" t="s">
        <v>165</v>
      </c>
      <c r="B116" s="5" t="s">
        <v>166</v>
      </c>
      <c r="C116" s="2" t="s">
        <v>167</v>
      </c>
      <c r="D116" s="2">
        <v>3</v>
      </c>
      <c r="E116" s="2">
        <v>0.09</v>
      </c>
      <c r="F116" s="2">
        <v>164.79</v>
      </c>
      <c r="G116" s="6">
        <f t="shared" si="13"/>
        <v>14.8311</v>
      </c>
      <c r="H116" s="6">
        <f t="shared" si="18"/>
        <v>4.4938233</v>
      </c>
      <c r="I116" s="6">
        <f t="shared" si="15"/>
        <v>4.44933</v>
      </c>
      <c r="J116" s="6">
        <f t="shared" si="16"/>
        <v>23.774253299999998</v>
      </c>
    </row>
    <row r="117" spans="1:10" ht="12.75">
      <c r="A117" s="4" t="s">
        <v>168</v>
      </c>
      <c r="B117" s="5" t="s">
        <v>169</v>
      </c>
      <c r="C117" s="2" t="s">
        <v>153</v>
      </c>
      <c r="D117" s="2">
        <v>3.1</v>
      </c>
      <c r="E117" s="2">
        <v>0.85</v>
      </c>
      <c r="F117" s="2">
        <v>164.79</v>
      </c>
      <c r="G117" s="6">
        <f aca="true" t="shared" si="19" ref="G117:G127">F117*E117</f>
        <v>140.0715</v>
      </c>
      <c r="H117" s="6">
        <f t="shared" si="18"/>
        <v>42.441664499999995</v>
      </c>
      <c r="I117" s="6">
        <f aca="true" t="shared" si="20" ref="I117:I127">G117*30/100</f>
        <v>42.021449999999994</v>
      </c>
      <c r="J117" s="6">
        <f aca="true" t="shared" si="21" ref="J117:J127">G117+H117+I117</f>
        <v>224.53461449999998</v>
      </c>
    </row>
    <row r="118" spans="1:10" ht="12.75">
      <c r="A118" s="62" t="s">
        <v>170</v>
      </c>
      <c r="B118" s="63"/>
      <c r="C118" s="63"/>
      <c r="D118" s="63"/>
      <c r="E118" s="63"/>
      <c r="F118" s="63"/>
      <c r="G118" s="63"/>
      <c r="H118" s="63"/>
      <c r="I118" s="63"/>
      <c r="J118" s="64"/>
    </row>
    <row r="119" spans="1:10" ht="33.75">
      <c r="A119" s="4" t="s">
        <v>172</v>
      </c>
      <c r="B119" s="4" t="s">
        <v>171</v>
      </c>
      <c r="C119" s="3" t="s">
        <v>153</v>
      </c>
      <c r="D119" s="2">
        <v>3.6</v>
      </c>
      <c r="E119" s="2">
        <v>1.91</v>
      </c>
      <c r="F119" s="2">
        <v>164.79</v>
      </c>
      <c r="G119" s="6">
        <f t="shared" si="19"/>
        <v>314.7489</v>
      </c>
      <c r="H119" s="6">
        <f>G119*30.3/100</f>
        <v>95.36891670000001</v>
      </c>
      <c r="I119" s="6">
        <f t="shared" si="20"/>
        <v>94.42467</v>
      </c>
      <c r="J119" s="6">
        <f t="shared" si="21"/>
        <v>504.5424867</v>
      </c>
    </row>
    <row r="120" spans="1:10" ht="33.75">
      <c r="A120" s="4" t="s">
        <v>173</v>
      </c>
      <c r="B120" s="4" t="s">
        <v>174</v>
      </c>
      <c r="C120" s="3" t="s">
        <v>153</v>
      </c>
      <c r="D120" s="2">
        <v>3.6</v>
      </c>
      <c r="E120" s="2">
        <v>1.35</v>
      </c>
      <c r="F120" s="2">
        <v>164.79</v>
      </c>
      <c r="G120" s="6">
        <f t="shared" si="19"/>
        <v>222.4665</v>
      </c>
      <c r="H120" s="6">
        <f>G120*30.3/100</f>
        <v>67.4073495</v>
      </c>
      <c r="I120" s="6">
        <f t="shared" si="20"/>
        <v>66.73995</v>
      </c>
      <c r="J120" s="6">
        <f t="shared" si="21"/>
        <v>356.6137995</v>
      </c>
    </row>
    <row r="121" spans="1:10" ht="33.75">
      <c r="A121" s="4" t="s">
        <v>175</v>
      </c>
      <c r="B121" s="4" t="s">
        <v>176</v>
      </c>
      <c r="C121" s="3" t="s">
        <v>153</v>
      </c>
      <c r="D121" s="2">
        <v>3.6</v>
      </c>
      <c r="E121" s="2">
        <v>1.05</v>
      </c>
      <c r="F121" s="2">
        <v>164.79</v>
      </c>
      <c r="G121" s="6">
        <f t="shared" si="19"/>
        <v>173.0295</v>
      </c>
      <c r="H121" s="6">
        <f>G121*30.3/100</f>
        <v>52.42793850000001</v>
      </c>
      <c r="I121" s="6">
        <f t="shared" si="20"/>
        <v>51.90885</v>
      </c>
      <c r="J121" s="6">
        <f t="shared" si="21"/>
        <v>277.3662885</v>
      </c>
    </row>
    <row r="122" spans="1:10" ht="12.75">
      <c r="A122" s="62" t="s">
        <v>177</v>
      </c>
      <c r="B122" s="63"/>
      <c r="C122" s="63"/>
      <c r="D122" s="63"/>
      <c r="E122" s="63"/>
      <c r="F122" s="63"/>
      <c r="G122" s="63"/>
      <c r="H122" s="63"/>
      <c r="I122" s="63"/>
      <c r="J122" s="64"/>
    </row>
    <row r="123" spans="1:10" ht="33.75">
      <c r="A123" s="4" t="s">
        <v>178</v>
      </c>
      <c r="B123" s="4" t="s">
        <v>179</v>
      </c>
      <c r="C123" s="3" t="s">
        <v>112</v>
      </c>
      <c r="D123" s="2">
        <v>3</v>
      </c>
      <c r="E123" s="2">
        <v>0.72</v>
      </c>
      <c r="F123" s="2">
        <v>209.12</v>
      </c>
      <c r="G123" s="6">
        <f t="shared" si="19"/>
        <v>150.5664</v>
      </c>
      <c r="H123" s="6">
        <f>G123*30.3/100</f>
        <v>45.6216192</v>
      </c>
      <c r="I123" s="6">
        <f t="shared" si="20"/>
        <v>45.16991999999999</v>
      </c>
      <c r="J123" s="6">
        <f t="shared" si="21"/>
        <v>241.35793919999998</v>
      </c>
    </row>
    <row r="124" spans="1:10" ht="45">
      <c r="A124" s="4" t="s">
        <v>180</v>
      </c>
      <c r="B124" s="4" t="s">
        <v>15</v>
      </c>
      <c r="C124" s="3" t="s">
        <v>181</v>
      </c>
      <c r="D124" s="2">
        <v>3.5</v>
      </c>
      <c r="E124" s="2">
        <v>0.93</v>
      </c>
      <c r="F124" s="2">
        <v>209.12</v>
      </c>
      <c r="G124" s="6">
        <f t="shared" si="19"/>
        <v>194.48160000000001</v>
      </c>
      <c r="H124" s="6">
        <f aca="true" t="shared" si="22" ref="H124:H132">G124*30.3/100</f>
        <v>58.92792480000001</v>
      </c>
      <c r="I124" s="6">
        <f t="shared" si="20"/>
        <v>58.344480000000004</v>
      </c>
      <c r="J124" s="6">
        <f t="shared" si="21"/>
        <v>311.7540048</v>
      </c>
    </row>
    <row r="125" spans="1:10" ht="45">
      <c r="A125" s="4" t="s">
        <v>182</v>
      </c>
      <c r="B125" s="4" t="s">
        <v>15</v>
      </c>
      <c r="C125" s="3" t="s">
        <v>181</v>
      </c>
      <c r="D125" s="2">
        <v>3.5</v>
      </c>
      <c r="E125" s="2">
        <v>1.26</v>
      </c>
      <c r="F125" s="2">
        <v>209.12</v>
      </c>
      <c r="G125" s="6">
        <f t="shared" si="19"/>
        <v>263.4912</v>
      </c>
      <c r="H125" s="6">
        <f t="shared" si="22"/>
        <v>79.83783360000001</v>
      </c>
      <c r="I125" s="6">
        <f t="shared" si="20"/>
        <v>79.04736</v>
      </c>
      <c r="J125" s="6">
        <f t="shared" si="21"/>
        <v>422.37639360000003</v>
      </c>
    </row>
    <row r="126" spans="1:10" ht="22.5">
      <c r="A126" s="4" t="s">
        <v>183</v>
      </c>
      <c r="B126" s="4" t="s">
        <v>18</v>
      </c>
      <c r="C126" s="5" t="s">
        <v>184</v>
      </c>
      <c r="D126" s="2">
        <v>3</v>
      </c>
      <c r="E126" s="2">
        <v>0.74</v>
      </c>
      <c r="F126" s="2">
        <v>209.12</v>
      </c>
      <c r="G126" s="6">
        <f t="shared" si="19"/>
        <v>154.7488</v>
      </c>
      <c r="H126" s="6">
        <f t="shared" si="22"/>
        <v>46.888886400000004</v>
      </c>
      <c r="I126" s="6">
        <f t="shared" si="20"/>
        <v>46.42464</v>
      </c>
      <c r="J126" s="6">
        <f t="shared" si="21"/>
        <v>248.06232640000002</v>
      </c>
    </row>
    <row r="127" spans="1:10" ht="22.5">
      <c r="A127" s="4" t="s">
        <v>185</v>
      </c>
      <c r="B127" s="3" t="s">
        <v>24</v>
      </c>
      <c r="C127" s="2" t="s">
        <v>112</v>
      </c>
      <c r="D127" s="2">
        <v>3</v>
      </c>
      <c r="E127" s="2">
        <v>0.7</v>
      </c>
      <c r="F127" s="2">
        <v>209.12</v>
      </c>
      <c r="G127" s="6">
        <f t="shared" si="19"/>
        <v>146.384</v>
      </c>
      <c r="H127" s="6">
        <f t="shared" si="22"/>
        <v>44.354352</v>
      </c>
      <c r="I127" s="6">
        <f t="shared" si="20"/>
        <v>43.9152</v>
      </c>
      <c r="J127" s="6">
        <f t="shared" si="21"/>
        <v>234.653552</v>
      </c>
    </row>
    <row r="128" spans="1:10" ht="22.5">
      <c r="A128" s="4" t="s">
        <v>186</v>
      </c>
      <c r="B128" s="5" t="s">
        <v>26</v>
      </c>
      <c r="C128" s="2" t="s">
        <v>112</v>
      </c>
      <c r="D128" s="2">
        <v>3</v>
      </c>
      <c r="E128" s="2">
        <v>0.7</v>
      </c>
      <c r="F128" s="2">
        <v>209.12</v>
      </c>
      <c r="G128" s="6">
        <f>F128*E128</f>
        <v>146.384</v>
      </c>
      <c r="H128" s="6">
        <f t="shared" si="22"/>
        <v>44.354352</v>
      </c>
      <c r="I128" s="6">
        <f>G128*30/100</f>
        <v>43.9152</v>
      </c>
      <c r="J128" s="6">
        <f>G128+H128+I128</f>
        <v>234.653552</v>
      </c>
    </row>
    <row r="129" spans="1:10" ht="33.75">
      <c r="A129" s="4" t="s">
        <v>187</v>
      </c>
      <c r="B129" s="5" t="s">
        <v>32</v>
      </c>
      <c r="C129" s="2" t="s">
        <v>112</v>
      </c>
      <c r="D129" s="2">
        <v>3</v>
      </c>
      <c r="E129" s="2">
        <v>0.16</v>
      </c>
      <c r="F129" s="2">
        <v>209.12</v>
      </c>
      <c r="G129" s="6">
        <f>F129*E129</f>
        <v>33.4592</v>
      </c>
      <c r="H129" s="6">
        <f t="shared" si="22"/>
        <v>10.1381376</v>
      </c>
      <c r="I129" s="6">
        <f>G129*30/100</f>
        <v>10.03776</v>
      </c>
      <c r="J129" s="6">
        <f>G129+H129+I129</f>
        <v>53.6350976</v>
      </c>
    </row>
    <row r="130" spans="1:10" ht="33.75">
      <c r="A130" s="4" t="s">
        <v>188</v>
      </c>
      <c r="B130" s="5" t="s">
        <v>34</v>
      </c>
      <c r="C130" s="2" t="s">
        <v>112</v>
      </c>
      <c r="D130" s="2">
        <v>3</v>
      </c>
      <c r="E130" s="2">
        <v>0.49</v>
      </c>
      <c r="F130" s="2">
        <v>209.12</v>
      </c>
      <c r="G130" s="6">
        <f>F130*E130</f>
        <v>102.4688</v>
      </c>
      <c r="H130" s="6">
        <f t="shared" si="22"/>
        <v>31.048046400000004</v>
      </c>
      <c r="I130" s="6">
        <f>G130*30/100</f>
        <v>30.74064</v>
      </c>
      <c r="J130" s="6">
        <f>G130+H130+I130</f>
        <v>164.2574864</v>
      </c>
    </row>
    <row r="131" spans="1:10" ht="22.5">
      <c r="A131" s="4" t="s">
        <v>189</v>
      </c>
      <c r="B131" s="5" t="s">
        <v>36</v>
      </c>
      <c r="C131" s="2" t="s">
        <v>112</v>
      </c>
      <c r="D131" s="2">
        <v>4</v>
      </c>
      <c r="E131" s="2">
        <v>0.48</v>
      </c>
      <c r="F131" s="2">
        <v>209.12</v>
      </c>
      <c r="G131" s="6">
        <f>F131*E131</f>
        <v>100.3776</v>
      </c>
      <c r="H131" s="6">
        <f t="shared" si="22"/>
        <v>30.4144128</v>
      </c>
      <c r="I131" s="6">
        <f>G131*30/100</f>
        <v>30.11328</v>
      </c>
      <c r="J131" s="6">
        <f>G131+H131+I131</f>
        <v>160.9052928</v>
      </c>
    </row>
    <row r="132" spans="1:10" ht="33.75">
      <c r="A132" s="4" t="s">
        <v>190</v>
      </c>
      <c r="B132" s="2" t="s">
        <v>38</v>
      </c>
      <c r="C132" s="2" t="s">
        <v>112</v>
      </c>
      <c r="D132" s="2">
        <v>4</v>
      </c>
      <c r="E132" s="2">
        <v>0.81</v>
      </c>
      <c r="F132" s="2">
        <v>209.12</v>
      </c>
      <c r="G132" s="6">
        <f>F132*E132</f>
        <v>169.3872</v>
      </c>
      <c r="H132" s="6">
        <f t="shared" si="22"/>
        <v>51.324321600000005</v>
      </c>
      <c r="I132" s="6">
        <f>G132*30/100</f>
        <v>50.816159999999996</v>
      </c>
      <c r="J132" s="6">
        <f>G132+H132+I132</f>
        <v>271.52768160000005</v>
      </c>
    </row>
    <row r="133" spans="1:10" ht="12.75">
      <c r="A133" s="9"/>
      <c r="B133" s="10"/>
      <c r="C133" s="10"/>
      <c r="D133" s="10"/>
      <c r="E133" s="10"/>
      <c r="F133" s="10"/>
      <c r="G133" s="11"/>
      <c r="H133" s="11"/>
      <c r="I133" s="11"/>
      <c r="J133" s="11"/>
    </row>
    <row r="134" spans="1:10" ht="12.75">
      <c r="A134" s="9"/>
      <c r="B134" s="10"/>
      <c r="C134" s="10"/>
      <c r="D134" s="10"/>
      <c r="E134" s="10"/>
      <c r="F134" s="12"/>
      <c r="G134" s="12"/>
      <c r="H134" s="12"/>
      <c r="I134" s="12"/>
      <c r="J134" s="12"/>
    </row>
    <row r="135" spans="1:10" ht="12.75">
      <c r="A135" s="9"/>
      <c r="B135" s="10"/>
      <c r="C135" s="10"/>
      <c r="D135" s="10"/>
      <c r="E135" s="10"/>
      <c r="F135" s="12"/>
      <c r="G135" s="12"/>
      <c r="H135" s="12"/>
      <c r="I135" s="12"/>
      <c r="J135" s="12"/>
    </row>
    <row r="136" spans="1:10" ht="12.75">
      <c r="A136" s="14" t="s">
        <v>191</v>
      </c>
      <c r="B136" s="10"/>
      <c r="C136" s="10"/>
      <c r="D136" s="10"/>
      <c r="E136" s="10"/>
      <c r="F136" s="12"/>
      <c r="G136" s="12"/>
      <c r="H136" s="12"/>
      <c r="I136" s="12"/>
      <c r="J136" s="12"/>
    </row>
    <row r="137" spans="1:10" ht="12.75">
      <c r="A137" s="15" t="s">
        <v>192</v>
      </c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2.75">
      <c r="A138" s="15" t="s">
        <v>193</v>
      </c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2.75">
      <c r="A139" s="15" t="s">
        <v>194</v>
      </c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2.75">
      <c r="A140" s="15" t="s">
        <v>195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2.75">
      <c r="A144" s="13"/>
      <c r="B144" s="12"/>
      <c r="C144" s="13"/>
      <c r="D144" s="13"/>
      <c r="E144" s="13"/>
      <c r="F144" s="13"/>
      <c r="G144" s="13"/>
      <c r="H144" s="13"/>
      <c r="I144" s="13"/>
      <c r="J144" s="13"/>
    </row>
    <row r="145" spans="1:10" ht="12.75">
      <c r="A145" s="13"/>
      <c r="B145" s="12"/>
      <c r="C145" s="13"/>
      <c r="D145" s="13"/>
      <c r="E145" s="13"/>
      <c r="F145" s="13"/>
      <c r="G145" s="13"/>
      <c r="H145" s="13"/>
      <c r="I145" s="13"/>
      <c r="J145" s="13"/>
    </row>
    <row r="146" spans="1:10" ht="12.75">
      <c r="A146" s="13"/>
      <c r="B146" s="12"/>
      <c r="C146" s="13"/>
      <c r="D146" s="13"/>
      <c r="E146" s="13"/>
      <c r="F146" s="13"/>
      <c r="G146" s="13"/>
      <c r="H146" s="13"/>
      <c r="I146" s="13"/>
      <c r="J146" s="13"/>
    </row>
    <row r="147" spans="1:10" ht="12.75">
      <c r="A147" s="13"/>
      <c r="B147" s="12"/>
      <c r="C147" s="13"/>
      <c r="D147" s="13"/>
      <c r="E147" s="13"/>
      <c r="F147" s="13"/>
      <c r="G147" s="13"/>
      <c r="H147" s="13"/>
      <c r="I147" s="13"/>
      <c r="J147" s="13"/>
    </row>
    <row r="148" spans="1:10" ht="12.75">
      <c r="A148" s="13"/>
      <c r="B148" s="12"/>
      <c r="C148" s="13"/>
      <c r="D148" s="13"/>
      <c r="E148" s="13"/>
      <c r="F148" s="13"/>
      <c r="G148" s="13"/>
      <c r="H148" s="13"/>
      <c r="I148" s="13"/>
      <c r="J148" s="13"/>
    </row>
    <row r="149" spans="1:10" ht="12.75">
      <c r="A149" s="13"/>
      <c r="B149" s="12"/>
      <c r="C149" s="13"/>
      <c r="D149" s="13"/>
      <c r="E149" s="13"/>
      <c r="F149" s="13"/>
      <c r="G149" s="13"/>
      <c r="H149" s="13"/>
      <c r="I149" s="13"/>
      <c r="J149" s="13"/>
    </row>
    <row r="150" spans="1:10" ht="12.75">
      <c r="A150" s="13"/>
      <c r="B150" s="12"/>
      <c r="C150" s="13"/>
      <c r="D150" s="13"/>
      <c r="E150" s="13"/>
      <c r="F150" s="13"/>
      <c r="G150" s="13"/>
      <c r="H150" s="13"/>
      <c r="I150" s="13"/>
      <c r="J150" s="13"/>
    </row>
    <row r="151" spans="1:10" ht="12.75">
      <c r="A151" s="13"/>
      <c r="B151" s="12"/>
      <c r="C151" s="13"/>
      <c r="D151" s="13"/>
      <c r="E151" s="13"/>
      <c r="F151" s="13"/>
      <c r="G151" s="13"/>
      <c r="H151" s="13"/>
      <c r="I151" s="13"/>
      <c r="J151" s="13"/>
    </row>
    <row r="152" spans="1:10" ht="12.75">
      <c r="A152" s="13"/>
      <c r="B152" s="12"/>
      <c r="C152" s="13"/>
      <c r="D152" s="13"/>
      <c r="E152" s="13"/>
      <c r="F152" s="13"/>
      <c r="G152" s="13"/>
      <c r="H152" s="13"/>
      <c r="I152" s="13"/>
      <c r="J152" s="13"/>
    </row>
    <row r="153" spans="1:10" ht="12.75">
      <c r="A153" s="13"/>
      <c r="B153" s="12"/>
      <c r="C153" s="13"/>
      <c r="D153" s="13"/>
      <c r="E153" s="13"/>
      <c r="F153" s="13"/>
      <c r="G153" s="13"/>
      <c r="H153" s="13"/>
      <c r="I153" s="13"/>
      <c r="J153" s="13"/>
    </row>
    <row r="154" spans="1:10" ht="12.75">
      <c r="A154" s="13"/>
      <c r="B154" s="12"/>
      <c r="C154" s="13"/>
      <c r="D154" s="13"/>
      <c r="E154" s="13"/>
      <c r="F154" s="13"/>
      <c r="G154" s="13"/>
      <c r="H154" s="13"/>
      <c r="I154" s="13"/>
      <c r="J154" s="13"/>
    </row>
    <row r="155" spans="1:10" ht="12.75">
      <c r="A155" s="13"/>
      <c r="B155" s="12"/>
      <c r="C155" s="13"/>
      <c r="D155" s="13"/>
      <c r="E155" s="13"/>
      <c r="F155" s="13"/>
      <c r="G155" s="13"/>
      <c r="H155" s="13"/>
      <c r="I155" s="13"/>
      <c r="J155" s="13"/>
    </row>
    <row r="156" spans="1:10" ht="12.75">
      <c r="A156" s="13"/>
      <c r="B156" s="12"/>
      <c r="C156" s="13"/>
      <c r="D156" s="13"/>
      <c r="E156" s="13"/>
      <c r="F156" s="13"/>
      <c r="G156" s="13"/>
      <c r="H156" s="13"/>
      <c r="I156" s="13"/>
      <c r="J156" s="13"/>
    </row>
    <row r="157" spans="1:10" ht="12.75">
      <c r="A157" s="13"/>
      <c r="B157" s="12"/>
      <c r="C157" s="13"/>
      <c r="D157" s="13"/>
      <c r="E157" s="13"/>
      <c r="F157" s="13"/>
      <c r="G157" s="13"/>
      <c r="H157" s="13"/>
      <c r="I157" s="13"/>
      <c r="J157" s="13"/>
    </row>
    <row r="158" spans="1:10" ht="12.75">
      <c r="A158" s="13"/>
      <c r="B158" s="12"/>
      <c r="C158" s="13"/>
      <c r="D158" s="13"/>
      <c r="E158" s="13"/>
      <c r="F158" s="13"/>
      <c r="G158" s="13"/>
      <c r="H158" s="13"/>
      <c r="I158" s="13"/>
      <c r="J158" s="13"/>
    </row>
    <row r="159" spans="1:10" ht="12.75">
      <c r="A159" s="13"/>
      <c r="B159" s="12"/>
      <c r="C159" s="13"/>
      <c r="D159" s="13"/>
      <c r="E159" s="13"/>
      <c r="F159" s="13"/>
      <c r="G159" s="13"/>
      <c r="H159" s="13"/>
      <c r="I159" s="13"/>
      <c r="J159" s="13"/>
    </row>
    <row r="160" spans="1:10" ht="12.75">
      <c r="A160" s="13"/>
      <c r="B160" s="12"/>
      <c r="C160" s="13"/>
      <c r="D160" s="13"/>
      <c r="E160" s="13"/>
      <c r="F160" s="13"/>
      <c r="G160" s="13"/>
      <c r="H160" s="13"/>
      <c r="I160" s="13"/>
      <c r="J160" s="13"/>
    </row>
    <row r="161" spans="1:10" ht="12.75">
      <c r="A161" s="13"/>
      <c r="B161" s="12"/>
      <c r="C161" s="13"/>
      <c r="D161" s="13"/>
      <c r="E161" s="13"/>
      <c r="F161" s="13"/>
      <c r="G161" s="13"/>
      <c r="H161" s="13"/>
      <c r="I161" s="13"/>
      <c r="J161" s="13"/>
    </row>
    <row r="162" spans="1:10" ht="12.75">
      <c r="A162" s="13"/>
      <c r="B162" s="12"/>
      <c r="C162" s="13"/>
      <c r="D162" s="13"/>
      <c r="E162" s="13"/>
      <c r="F162" s="13"/>
      <c r="G162" s="13"/>
      <c r="H162" s="13"/>
      <c r="I162" s="13"/>
      <c r="J162" s="13"/>
    </row>
    <row r="163" spans="1:10" ht="12.75">
      <c r="A163" s="13"/>
      <c r="B163" s="12"/>
      <c r="C163" s="13"/>
      <c r="D163" s="13"/>
      <c r="E163" s="13"/>
      <c r="F163" s="13"/>
      <c r="G163" s="13"/>
      <c r="H163" s="13"/>
      <c r="I163" s="13"/>
      <c r="J163" s="13"/>
    </row>
    <row r="164" spans="1:10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</row>
  </sheetData>
  <sheetProtection/>
  <mergeCells count="15">
    <mergeCell ref="A60:J60"/>
    <mergeCell ref="A90:J90"/>
    <mergeCell ref="A97:J97"/>
    <mergeCell ref="A55:J55"/>
    <mergeCell ref="A118:J118"/>
    <mergeCell ref="A122:J122"/>
    <mergeCell ref="A46:J46"/>
    <mergeCell ref="A49:J49"/>
    <mergeCell ref="A52:J52"/>
    <mergeCell ref="F1:G1"/>
    <mergeCell ref="F3:G3"/>
    <mergeCell ref="F5:G5"/>
    <mergeCell ref="H1:I1"/>
    <mergeCell ref="B8:G9"/>
    <mergeCell ref="A13:J13"/>
  </mergeCells>
  <printOptions/>
  <pageMargins left="0.61" right="0.52" top="0.23" bottom="0.45" header="0.24" footer="0.29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9"/>
  <sheetViews>
    <sheetView tabSelected="1" zoomScalePageLayoutView="0" workbookViewId="0" topLeftCell="A13">
      <selection activeCell="I35" sqref="I35"/>
    </sheetView>
  </sheetViews>
  <sheetFormatPr defaultColWidth="9.140625" defaultRowHeight="12.75"/>
  <cols>
    <col min="1" max="1" width="29.28125" style="20" customWidth="1"/>
    <col min="2" max="2" width="9.421875" style="20" customWidth="1"/>
    <col min="3" max="3" width="7.7109375" style="20" customWidth="1"/>
    <col min="4" max="4" width="7.28125" style="20" hidden="1" customWidth="1"/>
    <col min="5" max="5" width="7.57421875" style="20" customWidth="1"/>
    <col min="6" max="6" width="8.57421875" style="20" customWidth="1"/>
    <col min="7" max="7" width="9.7109375" style="20" customWidth="1"/>
    <col min="8" max="8" width="9.140625" style="20" customWidth="1"/>
    <col min="9" max="9" width="9.28125" style="20" customWidth="1"/>
    <col min="10" max="10" width="12.00390625" style="20" bestFit="1" customWidth="1"/>
    <col min="11" max="11" width="11.7109375" style="0" customWidth="1"/>
  </cols>
  <sheetData>
    <row r="1" spans="6:11" ht="15">
      <c r="F1" s="50"/>
      <c r="G1" s="50"/>
      <c r="H1" s="57" t="s">
        <v>196</v>
      </c>
      <c r="I1" s="57"/>
      <c r="J1" s="57"/>
      <c r="K1" s="57"/>
    </row>
    <row r="2" spans="7:11" ht="14.25">
      <c r="G2" s="58" t="s">
        <v>197</v>
      </c>
      <c r="H2" s="58"/>
      <c r="I2" s="58"/>
      <c r="J2" s="58"/>
      <c r="K2" s="58"/>
    </row>
    <row r="3" spans="7:11" ht="14.25">
      <c r="G3" s="58" t="s">
        <v>271</v>
      </c>
      <c r="H3" s="58"/>
      <c r="I3" s="58"/>
      <c r="J3" s="58"/>
      <c r="K3" s="58"/>
    </row>
    <row r="4" spans="6:7" ht="14.25">
      <c r="F4" s="51"/>
      <c r="G4" s="51"/>
    </row>
    <row r="5" spans="7:11" ht="14.25">
      <c r="G5" s="58" t="s">
        <v>639</v>
      </c>
      <c r="H5" s="58"/>
      <c r="I5" s="58"/>
      <c r="J5" s="58"/>
      <c r="K5" s="58"/>
    </row>
    <row r="7" spans="1:11" ht="45.75" customHeight="1">
      <c r="A7" s="85" t="s">
        <v>641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60">
      <c r="A8" s="22" t="s">
        <v>0</v>
      </c>
      <c r="B8" s="23" t="s">
        <v>443</v>
      </c>
      <c r="C8" s="22" t="s">
        <v>2</v>
      </c>
      <c r="D8" s="23" t="s">
        <v>3</v>
      </c>
      <c r="E8" s="23" t="s">
        <v>290</v>
      </c>
      <c r="F8" s="23" t="s">
        <v>5</v>
      </c>
      <c r="G8" s="23" t="s">
        <v>6</v>
      </c>
      <c r="H8" s="23" t="s">
        <v>209</v>
      </c>
      <c r="I8" s="23" t="s">
        <v>7</v>
      </c>
      <c r="J8" s="23" t="s">
        <v>8</v>
      </c>
      <c r="K8" s="23" t="s">
        <v>296</v>
      </c>
    </row>
    <row r="9" spans="1:11" ht="1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</row>
    <row r="10" spans="1:10" ht="14.25">
      <c r="A10" s="78" t="s">
        <v>10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1" ht="30">
      <c r="A11" s="25" t="s">
        <v>272</v>
      </c>
      <c r="B11" s="23"/>
      <c r="C11" s="22" t="s">
        <v>274</v>
      </c>
      <c r="D11" s="22">
        <v>4</v>
      </c>
      <c r="E11" s="22">
        <v>1</v>
      </c>
      <c r="F11" s="22">
        <v>236.59</v>
      </c>
      <c r="G11" s="26">
        <f>F11*E11</f>
        <v>236.59</v>
      </c>
      <c r="H11" s="26">
        <f>G11*30.3/100</f>
        <v>71.68677000000001</v>
      </c>
      <c r="I11" s="26">
        <f>G11*30/100</f>
        <v>70.977</v>
      </c>
      <c r="J11" s="26">
        <f>G11+H11+I11</f>
        <v>379.25377000000003</v>
      </c>
      <c r="K11" s="26">
        <f>J11*1.18</f>
        <v>447.51944860000003</v>
      </c>
    </row>
    <row r="12" spans="1:11" ht="14.25">
      <c r="A12" s="44" t="s">
        <v>322</v>
      </c>
      <c r="B12" s="72" t="s">
        <v>323</v>
      </c>
      <c r="C12" s="73"/>
      <c r="D12" s="73"/>
      <c r="E12" s="73"/>
      <c r="F12" s="73"/>
      <c r="G12" s="73"/>
      <c r="H12" s="73"/>
      <c r="I12" s="73"/>
      <c r="J12" s="73"/>
      <c r="K12" s="74"/>
    </row>
    <row r="13" spans="1:11" ht="15">
      <c r="A13" s="25" t="s">
        <v>324</v>
      </c>
      <c r="B13" s="23" t="s">
        <v>326</v>
      </c>
      <c r="C13" s="22" t="s">
        <v>85</v>
      </c>
      <c r="D13" s="22">
        <v>3.5</v>
      </c>
      <c r="E13" s="22">
        <f>68.8/100</f>
        <v>0.688</v>
      </c>
      <c r="F13" s="22">
        <v>236.59</v>
      </c>
      <c r="G13" s="26">
        <f aca="true" t="shared" si="0" ref="G13:G18">F13*E13</f>
        <v>162.77391999999998</v>
      </c>
      <c r="H13" s="26">
        <f>G13*30.3/100</f>
        <v>49.32049775999999</v>
      </c>
      <c r="I13" s="26">
        <f aca="true" t="shared" si="1" ref="I13:I18">G13*30/100</f>
        <v>48.83217599999999</v>
      </c>
      <c r="J13" s="26">
        <f aca="true" t="shared" si="2" ref="J13:J18">G13+H13+I13</f>
        <v>260.92659375999995</v>
      </c>
      <c r="K13" s="26">
        <f aca="true" t="shared" si="3" ref="K13:K24">J13*1.18</f>
        <v>307.8933806367999</v>
      </c>
    </row>
    <row r="14" spans="1:11" ht="15">
      <c r="A14" s="25" t="s">
        <v>325</v>
      </c>
      <c r="B14" s="23" t="s">
        <v>327</v>
      </c>
      <c r="C14" s="22" t="s">
        <v>85</v>
      </c>
      <c r="D14" s="22">
        <v>3.5</v>
      </c>
      <c r="E14" s="22">
        <f>85.3/100</f>
        <v>0.853</v>
      </c>
      <c r="F14" s="22">
        <v>236.59</v>
      </c>
      <c r="G14" s="26">
        <f t="shared" si="0"/>
        <v>201.81127</v>
      </c>
      <c r="H14" s="26">
        <f>G14*30.3/100</f>
        <v>61.148814810000005</v>
      </c>
      <c r="I14" s="26">
        <f t="shared" si="1"/>
        <v>60.543381</v>
      </c>
      <c r="J14" s="26">
        <f t="shared" si="2"/>
        <v>323.50346581</v>
      </c>
      <c r="K14" s="26">
        <f t="shared" si="3"/>
        <v>381.7340896558</v>
      </c>
    </row>
    <row r="15" spans="1:11" ht="14.25">
      <c r="A15" s="44" t="s">
        <v>328</v>
      </c>
      <c r="B15" s="72" t="s">
        <v>329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1:11" ht="30">
      <c r="A16" s="25" t="s">
        <v>330</v>
      </c>
      <c r="B16" s="23" t="s">
        <v>331</v>
      </c>
      <c r="C16" s="22" t="s">
        <v>19</v>
      </c>
      <c r="D16" s="22">
        <v>3.5</v>
      </c>
      <c r="E16" s="22">
        <f>5.7/100</f>
        <v>0.057</v>
      </c>
      <c r="F16" s="22">
        <f>F14</f>
        <v>236.59</v>
      </c>
      <c r="G16" s="22">
        <f t="shared" si="0"/>
        <v>13.48563</v>
      </c>
      <c r="H16" s="26">
        <f>G16*30.3/100</f>
        <v>4.08614589</v>
      </c>
      <c r="I16" s="26">
        <f t="shared" si="1"/>
        <v>4.045688999999999</v>
      </c>
      <c r="J16" s="26">
        <f t="shared" si="2"/>
        <v>21.61746489</v>
      </c>
      <c r="K16" s="26">
        <f t="shared" si="3"/>
        <v>25.5086085702</v>
      </c>
    </row>
    <row r="17" spans="1:11" ht="30">
      <c r="A17" s="25" t="s">
        <v>332</v>
      </c>
      <c r="B17" s="23"/>
      <c r="C17" s="22"/>
      <c r="D17" s="22"/>
      <c r="E17" s="22"/>
      <c r="F17" s="22"/>
      <c r="G17" s="26"/>
      <c r="H17" s="26"/>
      <c r="I17" s="26"/>
      <c r="J17" s="26"/>
      <c r="K17" s="26"/>
    </row>
    <row r="18" spans="1:11" ht="15">
      <c r="A18" s="25" t="s">
        <v>333</v>
      </c>
      <c r="B18" s="23" t="s">
        <v>334</v>
      </c>
      <c r="C18" s="23" t="s">
        <v>19</v>
      </c>
      <c r="D18" s="22">
        <v>3.5</v>
      </c>
      <c r="E18" s="22">
        <f>29/100</f>
        <v>0.29</v>
      </c>
      <c r="F18" s="22">
        <f>F16</f>
        <v>236.59</v>
      </c>
      <c r="G18" s="26">
        <f t="shared" si="0"/>
        <v>68.6111</v>
      </c>
      <c r="H18" s="26">
        <f>G18*30.3/100</f>
        <v>20.7891633</v>
      </c>
      <c r="I18" s="26">
        <f t="shared" si="1"/>
        <v>20.583329999999997</v>
      </c>
      <c r="J18" s="26">
        <f t="shared" si="2"/>
        <v>109.9835933</v>
      </c>
      <c r="K18" s="26">
        <f t="shared" si="3"/>
        <v>129.78064009399998</v>
      </c>
    </row>
    <row r="19" spans="1:11" ht="15">
      <c r="A19" s="25" t="s">
        <v>325</v>
      </c>
      <c r="B19" s="23" t="s">
        <v>335</v>
      </c>
      <c r="C19" s="23" t="s">
        <v>112</v>
      </c>
      <c r="D19" s="22">
        <v>3.5</v>
      </c>
      <c r="E19" s="22">
        <f>49.7/100</f>
        <v>0.49700000000000005</v>
      </c>
      <c r="F19" s="22">
        <f>F18</f>
        <v>236.59</v>
      </c>
      <c r="G19" s="26">
        <f>F19*E19</f>
        <v>117.58523000000001</v>
      </c>
      <c r="H19" s="26">
        <f>G19*30.3/100</f>
        <v>35.62832469000001</v>
      </c>
      <c r="I19" s="26">
        <f>G19*30/100</f>
        <v>35.275569000000004</v>
      </c>
      <c r="J19" s="26">
        <f>G19+H19+I19</f>
        <v>188.48912369000004</v>
      </c>
      <c r="K19" s="26">
        <f t="shared" si="3"/>
        <v>222.41716595420004</v>
      </c>
    </row>
    <row r="20" spans="1:11" ht="30">
      <c r="A20" s="25" t="s">
        <v>336</v>
      </c>
      <c r="B20" s="23"/>
      <c r="C20" s="23"/>
      <c r="D20" s="22"/>
      <c r="E20" s="22"/>
      <c r="F20" s="22"/>
      <c r="G20" s="26"/>
      <c r="H20" s="26"/>
      <c r="I20" s="26"/>
      <c r="J20" s="26"/>
      <c r="K20" s="26"/>
    </row>
    <row r="21" spans="1:11" ht="15">
      <c r="A21" s="25" t="s">
        <v>333</v>
      </c>
      <c r="B21" s="23" t="s">
        <v>337</v>
      </c>
      <c r="C21" s="23" t="s">
        <v>112</v>
      </c>
      <c r="D21" s="22">
        <v>3.5</v>
      </c>
      <c r="E21" s="22">
        <f>46.85/100</f>
        <v>0.4685</v>
      </c>
      <c r="F21" s="22">
        <f>F19</f>
        <v>236.59</v>
      </c>
      <c r="G21" s="26">
        <f>F21*E21</f>
        <v>110.842415</v>
      </c>
      <c r="H21" s="26">
        <f>G21*30.3/100</f>
        <v>33.585251745</v>
      </c>
      <c r="I21" s="26">
        <f>G21*30/100</f>
        <v>33.2527245</v>
      </c>
      <c r="J21" s="26">
        <f>G21+H21+I21</f>
        <v>177.680391245</v>
      </c>
      <c r="K21" s="26">
        <f t="shared" si="3"/>
        <v>209.6628616691</v>
      </c>
    </row>
    <row r="22" spans="1:11" ht="15">
      <c r="A22" s="25" t="s">
        <v>325</v>
      </c>
      <c r="B22" s="23" t="s">
        <v>338</v>
      </c>
      <c r="C22" s="23" t="s">
        <v>112</v>
      </c>
      <c r="D22" s="22">
        <v>3.5</v>
      </c>
      <c r="E22" s="22">
        <f>95.76/100</f>
        <v>0.9576</v>
      </c>
      <c r="F22" s="22">
        <f>F21</f>
        <v>236.59</v>
      </c>
      <c r="G22" s="26">
        <f>F22*E22</f>
        <v>226.558584</v>
      </c>
      <c r="H22" s="26">
        <f>G22*30.3/100</f>
        <v>68.64725095200001</v>
      </c>
      <c r="I22" s="26">
        <f>G22*30/100</f>
        <v>67.9675752</v>
      </c>
      <c r="J22" s="26">
        <f>G22+H22+I22</f>
        <v>363.17341015200003</v>
      </c>
      <c r="K22" s="26">
        <f t="shared" si="3"/>
        <v>428.54462397936004</v>
      </c>
    </row>
    <row r="23" spans="1:11" ht="15">
      <c r="A23" s="45" t="s">
        <v>339</v>
      </c>
      <c r="B23" s="23" t="s">
        <v>341</v>
      </c>
      <c r="C23" s="23" t="s">
        <v>112</v>
      </c>
      <c r="D23" s="22">
        <v>3.5</v>
      </c>
      <c r="E23" s="22">
        <f>57.57/100</f>
        <v>0.5757</v>
      </c>
      <c r="F23" s="22">
        <f>F22</f>
        <v>236.59</v>
      </c>
      <c r="G23" s="26">
        <f>F23*E23</f>
        <v>136.204863</v>
      </c>
      <c r="H23" s="26">
        <f>G23*30.3/100</f>
        <v>41.270073489</v>
      </c>
      <c r="I23" s="26">
        <f>G23*30/100</f>
        <v>40.861458899999995</v>
      </c>
      <c r="J23" s="26">
        <f>G23+H23+I23</f>
        <v>218.336395389</v>
      </c>
      <c r="K23" s="26">
        <f t="shared" si="3"/>
        <v>257.63694655902</v>
      </c>
    </row>
    <row r="24" spans="1:11" ht="15">
      <c r="A24" s="45" t="s">
        <v>340</v>
      </c>
      <c r="B24" s="23" t="s">
        <v>342</v>
      </c>
      <c r="C24" s="23" t="s">
        <v>112</v>
      </c>
      <c r="D24" s="22">
        <v>3.5</v>
      </c>
      <c r="E24" s="22">
        <f>27.8/100</f>
        <v>0.278</v>
      </c>
      <c r="F24" s="22">
        <f>F23</f>
        <v>236.59</v>
      </c>
      <c r="G24" s="26">
        <f>F24*E24</f>
        <v>65.77202000000001</v>
      </c>
      <c r="H24" s="26">
        <f>G24*30.3/100</f>
        <v>19.928922060000005</v>
      </c>
      <c r="I24" s="26">
        <f>G24*30/100</f>
        <v>19.731606000000003</v>
      </c>
      <c r="J24" s="26">
        <f>G24+H24+I24</f>
        <v>105.43254806000002</v>
      </c>
      <c r="K24" s="26">
        <f t="shared" si="3"/>
        <v>124.41040671080002</v>
      </c>
    </row>
    <row r="25" spans="1:11" ht="14.25" customHeight="1">
      <c r="A25" s="44" t="s">
        <v>298</v>
      </c>
      <c r="B25" s="72" t="s">
        <v>321</v>
      </c>
      <c r="C25" s="73"/>
      <c r="D25" s="73"/>
      <c r="E25" s="73"/>
      <c r="F25" s="73"/>
      <c r="G25" s="73"/>
      <c r="H25" s="73"/>
      <c r="I25" s="73"/>
      <c r="J25" s="73"/>
      <c r="K25" s="74"/>
    </row>
    <row r="26" spans="1:11" ht="15">
      <c r="A26" s="25" t="s">
        <v>299</v>
      </c>
      <c r="B26" s="23" t="s">
        <v>300</v>
      </c>
      <c r="C26" s="22" t="s">
        <v>13</v>
      </c>
      <c r="D26" s="22">
        <v>3.5</v>
      </c>
      <c r="E26" s="22">
        <f>51.3/100</f>
        <v>0.513</v>
      </c>
      <c r="F26" s="22">
        <v>236.59</v>
      </c>
      <c r="G26" s="26">
        <f aca="true" t="shared" si="4" ref="G26:G75">F26*E26</f>
        <v>121.37067</v>
      </c>
      <c r="H26" s="26">
        <f aca="true" t="shared" si="5" ref="H26:H39">G26*30.3/100</f>
        <v>36.77531301</v>
      </c>
      <c r="I26" s="26">
        <f aca="true" t="shared" si="6" ref="I26:I75">G26*30/100</f>
        <v>36.411201</v>
      </c>
      <c r="J26" s="26">
        <f aca="true" t="shared" si="7" ref="J26:J75">G26+H26+I26</f>
        <v>194.55718401000001</v>
      </c>
      <c r="K26" s="26">
        <f aca="true" t="shared" si="8" ref="K26:K106">J26*1.18</f>
        <v>229.5774771318</v>
      </c>
    </row>
    <row r="27" spans="1:11" ht="15">
      <c r="A27" s="25" t="s">
        <v>301</v>
      </c>
      <c r="B27" s="23" t="s">
        <v>302</v>
      </c>
      <c r="C27" s="22" t="s">
        <v>13</v>
      </c>
      <c r="D27" s="22">
        <v>3.5</v>
      </c>
      <c r="E27" s="22">
        <f>63.84/100</f>
        <v>0.6384000000000001</v>
      </c>
      <c r="F27" s="22">
        <v>236.59</v>
      </c>
      <c r="G27" s="26">
        <f t="shared" si="4"/>
        <v>151.03905600000002</v>
      </c>
      <c r="H27" s="26">
        <f t="shared" si="5"/>
        <v>45.764833968000005</v>
      </c>
      <c r="I27" s="26">
        <f t="shared" si="6"/>
        <v>45.311716800000006</v>
      </c>
      <c r="J27" s="26">
        <f t="shared" si="7"/>
        <v>242.11560676800002</v>
      </c>
      <c r="K27" s="26">
        <f t="shared" si="8"/>
        <v>285.69641598624</v>
      </c>
    </row>
    <row r="28" spans="1:11" ht="15">
      <c r="A28" s="25" t="s">
        <v>303</v>
      </c>
      <c r="B28" s="23" t="s">
        <v>304</v>
      </c>
      <c r="C28" s="22" t="s">
        <v>13</v>
      </c>
      <c r="D28" s="22">
        <v>3.5</v>
      </c>
      <c r="E28" s="22">
        <f>102.6/100</f>
        <v>1.026</v>
      </c>
      <c r="F28" s="22">
        <f>F26</f>
        <v>236.59</v>
      </c>
      <c r="G28" s="22">
        <f t="shared" si="4"/>
        <v>242.74134</v>
      </c>
      <c r="H28" s="26">
        <f t="shared" si="5"/>
        <v>73.55062602</v>
      </c>
      <c r="I28" s="26">
        <f t="shared" si="6"/>
        <v>72.822402</v>
      </c>
      <c r="J28" s="26">
        <f t="shared" si="7"/>
        <v>389.11436802000003</v>
      </c>
      <c r="K28" s="26">
        <f t="shared" si="8"/>
        <v>459.1549542636</v>
      </c>
    </row>
    <row r="29" spans="1:11" ht="15">
      <c r="A29" s="25" t="s">
        <v>305</v>
      </c>
      <c r="B29" s="23" t="s">
        <v>306</v>
      </c>
      <c r="C29" s="22" t="s">
        <v>19</v>
      </c>
      <c r="D29" s="22">
        <v>3.5</v>
      </c>
      <c r="E29" s="22">
        <f>293/100</f>
        <v>2.93</v>
      </c>
      <c r="F29" s="22">
        <f aca="true" t="shared" si="9" ref="F29:F34">F28</f>
        <v>236.59</v>
      </c>
      <c r="G29" s="22">
        <f t="shared" si="4"/>
        <v>693.2087</v>
      </c>
      <c r="H29" s="26">
        <f t="shared" si="5"/>
        <v>210.0422361</v>
      </c>
      <c r="I29" s="26">
        <f t="shared" si="6"/>
        <v>207.96261</v>
      </c>
      <c r="J29" s="26">
        <f t="shared" si="7"/>
        <v>1111.2135461</v>
      </c>
      <c r="K29" s="26">
        <f t="shared" si="8"/>
        <v>1311.231984398</v>
      </c>
    </row>
    <row r="30" spans="1:11" ht="15" hidden="1">
      <c r="A30" s="25" t="s">
        <v>17</v>
      </c>
      <c r="B30" s="23" t="s">
        <v>300</v>
      </c>
      <c r="C30" s="22" t="s">
        <v>19</v>
      </c>
      <c r="D30" s="22">
        <v>3.5</v>
      </c>
      <c r="E30" s="22">
        <v>3.55</v>
      </c>
      <c r="F30" s="22">
        <f t="shared" si="9"/>
        <v>236.59</v>
      </c>
      <c r="G30" s="26">
        <f t="shared" si="4"/>
        <v>839.8945</v>
      </c>
      <c r="H30" s="26">
        <f t="shared" si="5"/>
        <v>254.48803350000003</v>
      </c>
      <c r="I30" s="26">
        <f t="shared" si="6"/>
        <v>251.96835</v>
      </c>
      <c r="J30" s="26">
        <f t="shared" si="7"/>
        <v>1346.3508835000002</v>
      </c>
      <c r="K30" s="26">
        <f t="shared" si="8"/>
        <v>1588.6940425300002</v>
      </c>
    </row>
    <row r="31" spans="1:11" ht="15">
      <c r="A31" s="25" t="s">
        <v>307</v>
      </c>
      <c r="B31" s="23" t="s">
        <v>308</v>
      </c>
      <c r="C31" s="23" t="s">
        <v>19</v>
      </c>
      <c r="D31" s="22">
        <v>3.5</v>
      </c>
      <c r="E31" s="22">
        <f>55.84/100</f>
        <v>0.5584</v>
      </c>
      <c r="F31" s="22">
        <f t="shared" si="9"/>
        <v>236.59</v>
      </c>
      <c r="G31" s="26">
        <f t="shared" si="4"/>
        <v>132.11185600000002</v>
      </c>
      <c r="H31" s="26">
        <f t="shared" si="5"/>
        <v>40.029892368000006</v>
      </c>
      <c r="I31" s="26">
        <f t="shared" si="6"/>
        <v>39.63355680000001</v>
      </c>
      <c r="J31" s="26">
        <f t="shared" si="7"/>
        <v>211.77530516800005</v>
      </c>
      <c r="K31" s="26">
        <f t="shared" si="8"/>
        <v>249.89486009824003</v>
      </c>
    </row>
    <row r="32" spans="1:11" ht="15">
      <c r="A32" s="25" t="s">
        <v>309</v>
      </c>
      <c r="B32" s="23" t="s">
        <v>310</v>
      </c>
      <c r="C32" s="23" t="s">
        <v>112</v>
      </c>
      <c r="D32" s="22">
        <v>3.5</v>
      </c>
      <c r="E32" s="22">
        <f>43.69/100</f>
        <v>0.43689999999999996</v>
      </c>
      <c r="F32" s="22">
        <f t="shared" si="9"/>
        <v>236.59</v>
      </c>
      <c r="G32" s="26">
        <f>F32*E32</f>
        <v>103.366171</v>
      </c>
      <c r="H32" s="26">
        <f t="shared" si="5"/>
        <v>31.319949812999997</v>
      </c>
      <c r="I32" s="26">
        <f>G32*30/100</f>
        <v>31.0098513</v>
      </c>
      <c r="J32" s="26">
        <f>G32+H32+I32</f>
        <v>165.695972113</v>
      </c>
      <c r="K32" s="26">
        <f t="shared" si="8"/>
        <v>195.52124709334</v>
      </c>
    </row>
    <row r="33" spans="1:11" ht="15">
      <c r="A33" s="25" t="s">
        <v>311</v>
      </c>
      <c r="B33" s="23" t="s">
        <v>312</v>
      </c>
      <c r="C33" s="23" t="s">
        <v>112</v>
      </c>
      <c r="D33" s="22">
        <v>3.5</v>
      </c>
      <c r="E33" s="22">
        <f>58.91/100</f>
        <v>0.5891</v>
      </c>
      <c r="F33" s="22">
        <f t="shared" si="9"/>
        <v>236.59</v>
      </c>
      <c r="G33" s="26">
        <f>F33*E33</f>
        <v>139.375169</v>
      </c>
      <c r="H33" s="26">
        <f t="shared" si="5"/>
        <v>42.230676206999995</v>
      </c>
      <c r="I33" s="26">
        <f>G33*30/100</f>
        <v>41.8125507</v>
      </c>
      <c r="J33" s="26">
        <f>G33+H33+I33</f>
        <v>223.418395907</v>
      </c>
      <c r="K33" s="26">
        <f t="shared" si="8"/>
        <v>263.63370717026</v>
      </c>
    </row>
    <row r="34" spans="1:11" ht="30">
      <c r="A34" s="25" t="s">
        <v>313</v>
      </c>
      <c r="B34" s="23" t="s">
        <v>314</v>
      </c>
      <c r="C34" s="23" t="s">
        <v>112</v>
      </c>
      <c r="D34" s="22">
        <v>3.5</v>
      </c>
      <c r="E34" s="22">
        <f>43.32/100</f>
        <v>0.43320000000000003</v>
      </c>
      <c r="F34" s="22">
        <f t="shared" si="9"/>
        <v>236.59</v>
      </c>
      <c r="G34" s="26">
        <f>F34*E34</f>
        <v>102.49078800000001</v>
      </c>
      <c r="H34" s="26">
        <f t="shared" si="5"/>
        <v>31.054708764</v>
      </c>
      <c r="I34" s="26">
        <f>G34*30/100</f>
        <v>30.747236400000002</v>
      </c>
      <c r="J34" s="26">
        <f>G34+H34+I34</f>
        <v>164.292733164</v>
      </c>
      <c r="K34" s="26">
        <f t="shared" si="8"/>
        <v>193.86542513351998</v>
      </c>
    </row>
    <row r="35" spans="1:11" ht="30">
      <c r="A35" s="25" t="s">
        <v>315</v>
      </c>
      <c r="B35" s="23" t="s">
        <v>316</v>
      </c>
      <c r="C35" s="23" t="s">
        <v>112</v>
      </c>
      <c r="D35" s="22">
        <v>3.5</v>
      </c>
      <c r="E35" s="22">
        <f>40.14/100</f>
        <v>0.4014</v>
      </c>
      <c r="F35" s="22">
        <f>F31</f>
        <v>236.59</v>
      </c>
      <c r="G35" s="26">
        <f t="shared" si="4"/>
        <v>94.967226</v>
      </c>
      <c r="H35" s="26">
        <f t="shared" si="5"/>
        <v>28.775069478</v>
      </c>
      <c r="I35" s="26">
        <f t="shared" si="6"/>
        <v>28.4901678</v>
      </c>
      <c r="J35" s="26">
        <f t="shared" si="7"/>
        <v>152.23246327799998</v>
      </c>
      <c r="K35" s="26">
        <f t="shared" si="8"/>
        <v>179.63430666803998</v>
      </c>
    </row>
    <row r="36" spans="1:11" ht="15" hidden="1">
      <c r="A36" s="25" t="s">
        <v>25</v>
      </c>
      <c r="B36" s="23" t="s">
        <v>312</v>
      </c>
      <c r="C36" s="23" t="s">
        <v>112</v>
      </c>
      <c r="D36" s="22">
        <v>4</v>
      </c>
      <c r="E36" s="22">
        <v>1.732</v>
      </c>
      <c r="F36" s="22">
        <f>F35</f>
        <v>236.59</v>
      </c>
      <c r="G36" s="26">
        <f t="shared" si="4"/>
        <v>409.77388</v>
      </c>
      <c r="H36" s="26">
        <f t="shared" si="5"/>
        <v>124.16148564000001</v>
      </c>
      <c r="I36" s="26">
        <f t="shared" si="6"/>
        <v>122.93216400000001</v>
      </c>
      <c r="J36" s="26">
        <f t="shared" si="7"/>
        <v>656.86752964</v>
      </c>
      <c r="K36" s="26">
        <f t="shared" si="8"/>
        <v>775.1036849752</v>
      </c>
    </row>
    <row r="37" spans="1:11" ht="15" hidden="1">
      <c r="A37" s="25" t="s">
        <v>27</v>
      </c>
      <c r="B37" s="23" t="s">
        <v>312</v>
      </c>
      <c r="C37" s="23" t="s">
        <v>112</v>
      </c>
      <c r="D37" s="22">
        <v>4</v>
      </c>
      <c r="E37" s="22">
        <v>2.165</v>
      </c>
      <c r="F37" s="22">
        <f>F36</f>
        <v>236.59</v>
      </c>
      <c r="G37" s="26">
        <f t="shared" si="4"/>
        <v>512.21735</v>
      </c>
      <c r="H37" s="26">
        <f t="shared" si="5"/>
        <v>155.20185705</v>
      </c>
      <c r="I37" s="26">
        <f t="shared" si="6"/>
        <v>153.66520500000001</v>
      </c>
      <c r="J37" s="26">
        <f t="shared" si="7"/>
        <v>821.0844120500001</v>
      </c>
      <c r="K37" s="26">
        <f t="shared" si="8"/>
        <v>968.879606219</v>
      </c>
    </row>
    <row r="38" spans="1:11" ht="30">
      <c r="A38" s="25" t="s">
        <v>317</v>
      </c>
      <c r="B38" s="23" t="s">
        <v>318</v>
      </c>
      <c r="C38" s="23" t="s">
        <v>112</v>
      </c>
      <c r="D38" s="22">
        <v>3.5</v>
      </c>
      <c r="E38" s="22">
        <f>37.28/100</f>
        <v>0.3728</v>
      </c>
      <c r="F38" s="22">
        <f>F37</f>
        <v>236.59</v>
      </c>
      <c r="G38" s="26">
        <f t="shared" si="4"/>
        <v>88.20075200000001</v>
      </c>
      <c r="H38" s="26">
        <f t="shared" si="5"/>
        <v>26.724827856</v>
      </c>
      <c r="I38" s="26">
        <f t="shared" si="6"/>
        <v>26.460225600000005</v>
      </c>
      <c r="J38" s="26">
        <f t="shared" si="7"/>
        <v>141.385805456</v>
      </c>
      <c r="K38" s="26">
        <f t="shared" si="8"/>
        <v>166.83525043808</v>
      </c>
    </row>
    <row r="39" spans="1:11" ht="15">
      <c r="A39" s="25" t="s">
        <v>319</v>
      </c>
      <c r="B39" s="23" t="s">
        <v>320</v>
      </c>
      <c r="C39" s="23" t="s">
        <v>112</v>
      </c>
      <c r="D39" s="22">
        <v>3.5</v>
      </c>
      <c r="E39" s="22">
        <f>93.48/100</f>
        <v>0.9348000000000001</v>
      </c>
      <c r="F39" s="22">
        <f>F38</f>
        <v>236.59</v>
      </c>
      <c r="G39" s="26">
        <f>F39*E39</f>
        <v>221.16433200000003</v>
      </c>
      <c r="H39" s="26">
        <f t="shared" si="5"/>
        <v>67.01279259600001</v>
      </c>
      <c r="I39" s="26">
        <f>G39*30/100</f>
        <v>66.34929960000001</v>
      </c>
      <c r="J39" s="26">
        <f>G39+H39+I39</f>
        <v>354.52642419600005</v>
      </c>
      <c r="K39" s="26">
        <f t="shared" si="8"/>
        <v>418.34118055128005</v>
      </c>
    </row>
    <row r="40" spans="1:11" ht="14.25">
      <c r="A40" s="44" t="s">
        <v>343</v>
      </c>
      <c r="B40" s="72" t="s">
        <v>344</v>
      </c>
      <c r="C40" s="73"/>
      <c r="D40" s="73"/>
      <c r="E40" s="73"/>
      <c r="F40" s="73"/>
      <c r="G40" s="73"/>
      <c r="H40" s="73"/>
      <c r="I40" s="73"/>
      <c r="J40" s="73"/>
      <c r="K40" s="74"/>
    </row>
    <row r="41" spans="1:11" ht="30">
      <c r="A41" s="25" t="s">
        <v>345</v>
      </c>
      <c r="B41" s="23"/>
      <c r="C41" s="23"/>
      <c r="D41" s="22">
        <v>3.5</v>
      </c>
      <c r="E41" s="22"/>
      <c r="F41" s="22"/>
      <c r="G41" s="26"/>
      <c r="H41" s="26"/>
      <c r="I41" s="26"/>
      <c r="J41" s="26"/>
      <c r="K41" s="26"/>
    </row>
    <row r="42" spans="1:11" ht="15">
      <c r="A42" s="25" t="s">
        <v>346</v>
      </c>
      <c r="B42" s="23" t="s">
        <v>348</v>
      </c>
      <c r="C42" s="22" t="s">
        <v>19</v>
      </c>
      <c r="D42" s="22">
        <v>3.5</v>
      </c>
      <c r="E42" s="22">
        <f>81/100</f>
        <v>0.81</v>
      </c>
      <c r="F42" s="22">
        <f>F39</f>
        <v>236.59</v>
      </c>
      <c r="G42" s="26">
        <f aca="true" t="shared" si="10" ref="G42:G47">F42*E42</f>
        <v>191.6379</v>
      </c>
      <c r="H42" s="26">
        <f aca="true" t="shared" si="11" ref="H42:H47">G42*30.3/100</f>
        <v>58.06628370000001</v>
      </c>
      <c r="I42" s="26">
        <f aca="true" t="shared" si="12" ref="I42:I47">G42*30/100</f>
        <v>57.491369999999996</v>
      </c>
      <c r="J42" s="26">
        <f aca="true" t="shared" si="13" ref="J42:J47">G42+H42+I42</f>
        <v>307.1955537</v>
      </c>
      <c r="K42" s="26">
        <f t="shared" si="8"/>
        <v>362.490753366</v>
      </c>
    </row>
    <row r="43" spans="1:11" ht="15">
      <c r="A43" s="25" t="s">
        <v>347</v>
      </c>
      <c r="B43" s="23" t="s">
        <v>349</v>
      </c>
      <c r="C43" s="22" t="s">
        <v>19</v>
      </c>
      <c r="D43" s="22">
        <v>3.5</v>
      </c>
      <c r="E43" s="22">
        <f>103/100</f>
        <v>1.03</v>
      </c>
      <c r="F43" s="22">
        <v>236.59</v>
      </c>
      <c r="G43" s="26">
        <f t="shared" si="10"/>
        <v>243.6877</v>
      </c>
      <c r="H43" s="26">
        <f t="shared" si="11"/>
        <v>73.83737310000001</v>
      </c>
      <c r="I43" s="26">
        <f t="shared" si="12"/>
        <v>73.10631000000001</v>
      </c>
      <c r="J43" s="26">
        <f t="shared" si="13"/>
        <v>390.6313831</v>
      </c>
      <c r="K43" s="26">
        <f t="shared" si="8"/>
        <v>460.945032058</v>
      </c>
    </row>
    <row r="44" spans="1:11" ht="15">
      <c r="A44" s="25" t="s">
        <v>324</v>
      </c>
      <c r="B44" s="23" t="s">
        <v>350</v>
      </c>
      <c r="C44" s="22" t="s">
        <v>19</v>
      </c>
      <c r="D44" s="22">
        <v>3.5</v>
      </c>
      <c r="E44" s="22">
        <f>133/100</f>
        <v>1.33</v>
      </c>
      <c r="F44" s="22">
        <f>F42</f>
        <v>236.59</v>
      </c>
      <c r="G44" s="26">
        <f t="shared" si="10"/>
        <v>314.66470000000004</v>
      </c>
      <c r="H44" s="26">
        <f t="shared" si="11"/>
        <v>95.3434041</v>
      </c>
      <c r="I44" s="26">
        <f t="shared" si="12"/>
        <v>94.39941</v>
      </c>
      <c r="J44" s="26">
        <f t="shared" si="13"/>
        <v>504.4075141</v>
      </c>
      <c r="K44" s="26">
        <f t="shared" si="8"/>
        <v>595.200866638</v>
      </c>
    </row>
    <row r="45" spans="1:11" ht="15">
      <c r="A45" s="25" t="s">
        <v>351</v>
      </c>
      <c r="B45" s="23" t="s">
        <v>352</v>
      </c>
      <c r="C45" s="22" t="s">
        <v>19</v>
      </c>
      <c r="D45" s="22">
        <v>3.5</v>
      </c>
      <c r="E45" s="22">
        <f>81/100</f>
        <v>0.81</v>
      </c>
      <c r="F45" s="22">
        <f>F43</f>
        <v>236.59</v>
      </c>
      <c r="G45" s="26">
        <f t="shared" si="10"/>
        <v>191.6379</v>
      </c>
      <c r="H45" s="26">
        <f t="shared" si="11"/>
        <v>58.06628370000001</v>
      </c>
      <c r="I45" s="26">
        <f t="shared" si="12"/>
        <v>57.491369999999996</v>
      </c>
      <c r="J45" s="26">
        <f t="shared" si="13"/>
        <v>307.1955537</v>
      </c>
      <c r="K45" s="26">
        <f t="shared" si="8"/>
        <v>362.490753366</v>
      </c>
    </row>
    <row r="46" spans="1:11" ht="30">
      <c r="A46" s="25" t="s">
        <v>356</v>
      </c>
      <c r="B46" s="23" t="s">
        <v>353</v>
      </c>
      <c r="C46" s="22" t="s">
        <v>19</v>
      </c>
      <c r="D46" s="22">
        <v>3.5</v>
      </c>
      <c r="E46" s="22">
        <f>333/100</f>
        <v>3.33</v>
      </c>
      <c r="F46" s="22">
        <f>F44</f>
        <v>236.59</v>
      </c>
      <c r="G46" s="26">
        <f t="shared" si="10"/>
        <v>787.8447</v>
      </c>
      <c r="H46" s="26">
        <f t="shared" si="11"/>
        <v>238.7169441</v>
      </c>
      <c r="I46" s="26">
        <f t="shared" si="12"/>
        <v>236.35341</v>
      </c>
      <c r="J46" s="26">
        <f t="shared" si="13"/>
        <v>1262.9150541</v>
      </c>
      <c r="K46" s="26">
        <f t="shared" si="8"/>
        <v>1490.2397638379998</v>
      </c>
    </row>
    <row r="47" spans="1:11" ht="15">
      <c r="A47" s="25" t="s">
        <v>339</v>
      </c>
      <c r="B47" s="23" t="s">
        <v>354</v>
      </c>
      <c r="C47" s="22" t="s">
        <v>19</v>
      </c>
      <c r="D47" s="22">
        <v>3.5</v>
      </c>
      <c r="E47" s="22">
        <f>266.7/100</f>
        <v>2.667</v>
      </c>
      <c r="F47" s="22">
        <f>F45</f>
        <v>236.59</v>
      </c>
      <c r="G47" s="26">
        <f t="shared" si="10"/>
        <v>630.9855299999999</v>
      </c>
      <c r="H47" s="26">
        <f t="shared" si="11"/>
        <v>191.18861558999998</v>
      </c>
      <c r="I47" s="26">
        <f t="shared" si="12"/>
        <v>189.29565899999997</v>
      </c>
      <c r="J47" s="26">
        <f t="shared" si="13"/>
        <v>1011.4698045899999</v>
      </c>
      <c r="K47" s="26">
        <f t="shared" si="8"/>
        <v>1193.5343694161998</v>
      </c>
    </row>
    <row r="48" spans="1:11" ht="15">
      <c r="A48" s="25" t="s">
        <v>340</v>
      </c>
      <c r="B48" s="23" t="s">
        <v>355</v>
      </c>
      <c r="C48" s="22" t="s">
        <v>19</v>
      </c>
      <c r="D48" s="22">
        <v>3.5</v>
      </c>
      <c r="E48" s="22">
        <f>200/100</f>
        <v>2</v>
      </c>
      <c r="F48" s="22">
        <f>F43</f>
        <v>236.59</v>
      </c>
      <c r="G48" s="26">
        <f t="shared" si="4"/>
        <v>473.18</v>
      </c>
      <c r="H48" s="26">
        <f>G48*30.3/100</f>
        <v>143.37354000000002</v>
      </c>
      <c r="I48" s="26">
        <f t="shared" si="6"/>
        <v>141.954</v>
      </c>
      <c r="J48" s="26">
        <f t="shared" si="7"/>
        <v>758.5075400000001</v>
      </c>
      <c r="K48" s="26">
        <f t="shared" si="8"/>
        <v>895.0388972000001</v>
      </c>
    </row>
    <row r="49" spans="1:11" ht="14.25" customHeight="1">
      <c r="A49" s="44" t="s">
        <v>357</v>
      </c>
      <c r="B49" s="72" t="s">
        <v>358</v>
      </c>
      <c r="C49" s="73"/>
      <c r="D49" s="73"/>
      <c r="E49" s="73"/>
      <c r="F49" s="73"/>
      <c r="G49" s="73"/>
      <c r="H49" s="73"/>
      <c r="I49" s="73"/>
      <c r="J49" s="73"/>
      <c r="K49" s="74"/>
    </row>
    <row r="50" spans="1:11" ht="15" hidden="1">
      <c r="A50" s="25" t="s">
        <v>359</v>
      </c>
      <c r="B50" s="23" t="s">
        <v>360</v>
      </c>
      <c r="C50" s="22" t="s">
        <v>19</v>
      </c>
      <c r="D50" s="22">
        <v>3.5</v>
      </c>
      <c r="E50" s="22">
        <f>96/100</f>
        <v>0.96</v>
      </c>
      <c r="F50" s="22">
        <f>F48</f>
        <v>236.59</v>
      </c>
      <c r="G50" s="26">
        <f>F50*E50</f>
        <v>227.1264</v>
      </c>
      <c r="H50" s="26">
        <f aca="true" t="shared" si="14" ref="H50:H64">G50*30.3/100</f>
        <v>68.81929919999999</v>
      </c>
      <c r="I50" s="26">
        <f>G50*30/100</f>
        <v>68.13792</v>
      </c>
      <c r="J50" s="26">
        <f>G50+H50+I50</f>
        <v>364.0836192</v>
      </c>
      <c r="K50" s="26">
        <f t="shared" si="8"/>
        <v>429.61867065599995</v>
      </c>
    </row>
    <row r="51" spans="1:11" ht="15" hidden="1">
      <c r="A51" s="25" t="s">
        <v>361</v>
      </c>
      <c r="B51" s="23" t="s">
        <v>362</v>
      </c>
      <c r="C51" s="22" t="s">
        <v>19</v>
      </c>
      <c r="D51" s="22">
        <v>3.5</v>
      </c>
      <c r="E51" s="22">
        <f>234/100</f>
        <v>2.34</v>
      </c>
      <c r="F51" s="22">
        <f>F50</f>
        <v>236.59</v>
      </c>
      <c r="G51" s="26">
        <f t="shared" si="4"/>
        <v>553.6206</v>
      </c>
      <c r="H51" s="26">
        <f t="shared" si="14"/>
        <v>167.7470418</v>
      </c>
      <c r="I51" s="26">
        <f t="shared" si="6"/>
        <v>166.08617999999998</v>
      </c>
      <c r="J51" s="26">
        <f t="shared" si="7"/>
        <v>887.4538218</v>
      </c>
      <c r="K51" s="26">
        <f t="shared" si="8"/>
        <v>1047.195509724</v>
      </c>
    </row>
    <row r="52" spans="1:11" ht="15">
      <c r="A52" s="25" t="s">
        <v>363</v>
      </c>
      <c r="B52" s="23" t="s">
        <v>364</v>
      </c>
      <c r="C52" s="22" t="s">
        <v>19</v>
      </c>
      <c r="D52" s="22">
        <v>3.5</v>
      </c>
      <c r="E52" s="22">
        <f>76.3/100</f>
        <v>0.763</v>
      </c>
      <c r="F52" s="22">
        <f>F51</f>
        <v>236.59</v>
      </c>
      <c r="G52" s="26">
        <f t="shared" si="4"/>
        <v>180.51817</v>
      </c>
      <c r="H52" s="26">
        <f t="shared" si="14"/>
        <v>54.69700551</v>
      </c>
      <c r="I52" s="26">
        <f t="shared" si="6"/>
        <v>54.155451</v>
      </c>
      <c r="J52" s="26">
        <f t="shared" si="7"/>
        <v>289.37062650999997</v>
      </c>
      <c r="K52" s="26">
        <f t="shared" si="8"/>
        <v>341.45733928179993</v>
      </c>
    </row>
    <row r="53" spans="1:11" ht="15">
      <c r="A53" s="25" t="s">
        <v>365</v>
      </c>
      <c r="B53" s="23" t="s">
        <v>366</v>
      </c>
      <c r="C53" s="22" t="s">
        <v>19</v>
      </c>
      <c r="D53" s="22">
        <v>3.5</v>
      </c>
      <c r="E53" s="22">
        <f>107/100</f>
        <v>1.07</v>
      </c>
      <c r="F53" s="22">
        <f>F52</f>
        <v>236.59</v>
      </c>
      <c r="G53" s="26">
        <f>F53*E53</f>
        <v>253.15130000000002</v>
      </c>
      <c r="H53" s="26">
        <f t="shared" si="14"/>
        <v>76.7048439</v>
      </c>
      <c r="I53" s="26">
        <f>G53*30/100</f>
        <v>75.94539</v>
      </c>
      <c r="J53" s="26">
        <f>G53+H53+I53</f>
        <v>405.8015339</v>
      </c>
      <c r="K53" s="26">
        <f t="shared" si="8"/>
        <v>478.84581000199995</v>
      </c>
    </row>
    <row r="54" spans="1:11" ht="15">
      <c r="A54" s="25" t="s">
        <v>367</v>
      </c>
      <c r="B54" s="23" t="s">
        <v>368</v>
      </c>
      <c r="C54" s="22" t="s">
        <v>19</v>
      </c>
      <c r="D54" s="22">
        <v>3.5</v>
      </c>
      <c r="E54" s="22">
        <f>80/100</f>
        <v>0.8</v>
      </c>
      <c r="F54" s="22">
        <f>F53</f>
        <v>236.59</v>
      </c>
      <c r="G54" s="26">
        <f>F54*E54</f>
        <v>189.27200000000002</v>
      </c>
      <c r="H54" s="26">
        <f t="shared" si="14"/>
        <v>57.34941600000001</v>
      </c>
      <c r="I54" s="26">
        <f>G54*30/100</f>
        <v>56.781600000000005</v>
      </c>
      <c r="J54" s="26">
        <f>G54+H54+I54</f>
        <v>303.40301600000004</v>
      </c>
      <c r="K54" s="26">
        <f t="shared" si="8"/>
        <v>358.01555888</v>
      </c>
    </row>
    <row r="55" spans="1:11" ht="30">
      <c r="A55" s="25" t="s">
        <v>369</v>
      </c>
      <c r="B55" s="23" t="s">
        <v>370</v>
      </c>
      <c r="C55" s="22" t="s">
        <v>19</v>
      </c>
      <c r="D55" s="22">
        <v>3.5</v>
      </c>
      <c r="E55" s="22">
        <f>80/100</f>
        <v>0.8</v>
      </c>
      <c r="F55" s="22">
        <f>F54</f>
        <v>236.59</v>
      </c>
      <c r="G55" s="26">
        <f>F55*E55</f>
        <v>189.27200000000002</v>
      </c>
      <c r="H55" s="26">
        <f t="shared" si="14"/>
        <v>57.34941600000001</v>
      </c>
      <c r="I55" s="26">
        <f>G55*30/100</f>
        <v>56.781600000000005</v>
      </c>
      <c r="J55" s="26">
        <f>G55+H55+I55</f>
        <v>303.40301600000004</v>
      </c>
      <c r="K55" s="26">
        <f t="shared" si="8"/>
        <v>358.01555888</v>
      </c>
    </row>
    <row r="56" spans="1:11" ht="30">
      <c r="A56" s="25" t="s">
        <v>371</v>
      </c>
      <c r="B56" s="23" t="s">
        <v>372</v>
      </c>
      <c r="C56" s="22" t="s">
        <v>19</v>
      </c>
      <c r="D56" s="22">
        <v>3</v>
      </c>
      <c r="E56" s="22">
        <f>100/100</f>
        <v>1</v>
      </c>
      <c r="F56" s="22">
        <f>F52</f>
        <v>236.59</v>
      </c>
      <c r="G56" s="26">
        <f t="shared" si="4"/>
        <v>236.59</v>
      </c>
      <c r="H56" s="26">
        <f t="shared" si="14"/>
        <v>71.68677000000001</v>
      </c>
      <c r="I56" s="26">
        <f t="shared" si="6"/>
        <v>70.977</v>
      </c>
      <c r="J56" s="26">
        <f t="shared" si="7"/>
        <v>379.25377000000003</v>
      </c>
      <c r="K56" s="26">
        <f t="shared" si="8"/>
        <v>447.51944860000003</v>
      </c>
    </row>
    <row r="57" spans="1:11" ht="30">
      <c r="A57" s="25" t="s">
        <v>373</v>
      </c>
      <c r="B57" s="23" t="s">
        <v>374</v>
      </c>
      <c r="C57" s="22" t="s">
        <v>19</v>
      </c>
      <c r="D57" s="22">
        <v>2</v>
      </c>
      <c r="E57" s="22">
        <f>42/100</f>
        <v>0.42</v>
      </c>
      <c r="F57" s="22">
        <f>F56</f>
        <v>236.59</v>
      </c>
      <c r="G57" s="26">
        <f t="shared" si="4"/>
        <v>99.3678</v>
      </c>
      <c r="H57" s="26">
        <f t="shared" si="14"/>
        <v>30.108443400000002</v>
      </c>
      <c r="I57" s="26">
        <f t="shared" si="6"/>
        <v>29.81034</v>
      </c>
      <c r="J57" s="26">
        <f t="shared" si="7"/>
        <v>159.2865834</v>
      </c>
      <c r="K57" s="26">
        <f t="shared" si="8"/>
        <v>187.958168412</v>
      </c>
    </row>
    <row r="58" spans="1:11" ht="15">
      <c r="A58" s="25" t="s">
        <v>375</v>
      </c>
      <c r="B58" s="23" t="s">
        <v>377</v>
      </c>
      <c r="C58" s="22" t="s">
        <v>19</v>
      </c>
      <c r="D58" s="22">
        <v>2</v>
      </c>
      <c r="E58" s="22">
        <f>100/100</f>
        <v>1</v>
      </c>
      <c r="F58" s="22">
        <f>F57</f>
        <v>236.59</v>
      </c>
      <c r="G58" s="26">
        <f t="shared" si="4"/>
        <v>236.59</v>
      </c>
      <c r="H58" s="26">
        <f t="shared" si="14"/>
        <v>71.68677000000001</v>
      </c>
      <c r="I58" s="26">
        <f t="shared" si="6"/>
        <v>70.977</v>
      </c>
      <c r="J58" s="26">
        <f t="shared" si="7"/>
        <v>379.25377000000003</v>
      </c>
      <c r="K58" s="26">
        <f t="shared" si="8"/>
        <v>447.51944860000003</v>
      </c>
    </row>
    <row r="59" spans="1:11" ht="15">
      <c r="A59" s="25" t="s">
        <v>376</v>
      </c>
      <c r="B59" s="23" t="s">
        <v>378</v>
      </c>
      <c r="C59" s="22" t="s">
        <v>19</v>
      </c>
      <c r="D59" s="22">
        <v>2.8</v>
      </c>
      <c r="E59" s="22">
        <f>52.4/100</f>
        <v>0.524</v>
      </c>
      <c r="F59" s="22">
        <f>F58</f>
        <v>236.59</v>
      </c>
      <c r="G59" s="26">
        <f t="shared" si="4"/>
        <v>123.97316000000001</v>
      </c>
      <c r="H59" s="26">
        <f t="shared" si="14"/>
        <v>37.563867480000006</v>
      </c>
      <c r="I59" s="26">
        <f t="shared" si="6"/>
        <v>37.191948000000004</v>
      </c>
      <c r="J59" s="26">
        <f t="shared" si="7"/>
        <v>198.72897548</v>
      </c>
      <c r="K59" s="26">
        <f t="shared" si="8"/>
        <v>234.5001910664</v>
      </c>
    </row>
    <row r="60" spans="1:11" ht="15">
      <c r="A60" s="25" t="s">
        <v>379</v>
      </c>
      <c r="B60" s="23" t="s">
        <v>380</v>
      </c>
      <c r="C60" s="22" t="s">
        <v>19</v>
      </c>
      <c r="D60" s="22">
        <v>2.8</v>
      </c>
      <c r="E60" s="22">
        <f>100/100</f>
        <v>1</v>
      </c>
      <c r="F60" s="22">
        <f>F59</f>
        <v>236.59</v>
      </c>
      <c r="G60" s="26">
        <f>F60*E60</f>
        <v>236.59</v>
      </c>
      <c r="H60" s="26">
        <f t="shared" si="14"/>
        <v>71.68677000000001</v>
      </c>
      <c r="I60" s="26">
        <f>G60*30/100</f>
        <v>70.977</v>
      </c>
      <c r="J60" s="26">
        <f>G60+H60+I60</f>
        <v>379.25377000000003</v>
      </c>
      <c r="K60" s="26">
        <f t="shared" si="8"/>
        <v>447.51944860000003</v>
      </c>
    </row>
    <row r="61" spans="1:11" ht="15">
      <c r="A61" s="25" t="s">
        <v>381</v>
      </c>
      <c r="B61" s="23" t="s">
        <v>382</v>
      </c>
      <c r="C61" s="22" t="s">
        <v>112</v>
      </c>
      <c r="D61" s="22">
        <v>3.2</v>
      </c>
      <c r="E61" s="22">
        <f>412.7/100</f>
        <v>4.127</v>
      </c>
      <c r="F61" s="22">
        <f>F59</f>
        <v>236.59</v>
      </c>
      <c r="G61" s="26">
        <f t="shared" si="4"/>
        <v>976.40693</v>
      </c>
      <c r="H61" s="26">
        <f t="shared" si="14"/>
        <v>295.85129979</v>
      </c>
      <c r="I61" s="26">
        <f t="shared" si="6"/>
        <v>292.922079</v>
      </c>
      <c r="J61" s="26">
        <f t="shared" si="7"/>
        <v>1565.1803087899998</v>
      </c>
      <c r="K61" s="26">
        <f t="shared" si="8"/>
        <v>1846.9127643721997</v>
      </c>
    </row>
    <row r="62" spans="1:11" ht="30" hidden="1">
      <c r="A62" s="25" t="s">
        <v>242</v>
      </c>
      <c r="B62" s="23" t="s">
        <v>380</v>
      </c>
      <c r="C62" s="22" t="s">
        <v>52</v>
      </c>
      <c r="D62" s="22">
        <v>3.2</v>
      </c>
      <c r="E62" s="22">
        <v>2.77</v>
      </c>
      <c r="F62" s="22">
        <f>F61</f>
        <v>236.59</v>
      </c>
      <c r="G62" s="26">
        <f t="shared" si="4"/>
        <v>655.3543</v>
      </c>
      <c r="H62" s="26">
        <f t="shared" si="14"/>
        <v>198.5723529</v>
      </c>
      <c r="I62" s="26">
        <f t="shared" si="6"/>
        <v>196.60629</v>
      </c>
      <c r="J62" s="26">
        <f t="shared" si="7"/>
        <v>1050.5329428999999</v>
      </c>
      <c r="K62" s="26">
        <f t="shared" si="8"/>
        <v>1239.6288726219998</v>
      </c>
    </row>
    <row r="63" spans="1:11" ht="15">
      <c r="A63" s="25" t="s">
        <v>383</v>
      </c>
      <c r="B63" s="23" t="s">
        <v>386</v>
      </c>
      <c r="C63" s="22" t="s">
        <v>112</v>
      </c>
      <c r="D63" s="22">
        <v>3.2</v>
      </c>
      <c r="E63" s="22">
        <f>1837.4/100</f>
        <v>18.374000000000002</v>
      </c>
      <c r="F63" s="22">
        <f>F61</f>
        <v>236.59</v>
      </c>
      <c r="G63" s="26">
        <f>F63*E63</f>
        <v>4347.104660000001</v>
      </c>
      <c r="H63" s="26">
        <f t="shared" si="14"/>
        <v>1317.1727119800003</v>
      </c>
      <c r="I63" s="26">
        <f>G63*30/100</f>
        <v>1304.1313980000004</v>
      </c>
      <c r="J63" s="26">
        <f>G63+H63+I63</f>
        <v>6968.408769980001</v>
      </c>
      <c r="K63" s="26">
        <f t="shared" si="8"/>
        <v>8222.7223485764</v>
      </c>
    </row>
    <row r="64" spans="1:11" ht="15">
      <c r="A64" s="25" t="s">
        <v>384</v>
      </c>
      <c r="B64" s="23" t="s">
        <v>387</v>
      </c>
      <c r="C64" s="22" t="s">
        <v>112</v>
      </c>
      <c r="D64" s="22">
        <v>3.2</v>
      </c>
      <c r="E64" s="22">
        <f>354/100</f>
        <v>3.54</v>
      </c>
      <c r="F64" s="22">
        <f>F62</f>
        <v>236.59</v>
      </c>
      <c r="G64" s="26">
        <f t="shared" si="4"/>
        <v>837.5286</v>
      </c>
      <c r="H64" s="26">
        <f t="shared" si="14"/>
        <v>253.7711658</v>
      </c>
      <c r="I64" s="26">
        <f t="shared" si="6"/>
        <v>251.25858</v>
      </c>
      <c r="J64" s="26">
        <f t="shared" si="7"/>
        <v>1342.5583457999999</v>
      </c>
      <c r="K64" s="26">
        <f t="shared" si="8"/>
        <v>1584.2188480439997</v>
      </c>
    </row>
    <row r="65" spans="1:11" ht="15" hidden="1">
      <c r="A65" s="25"/>
      <c r="B65" s="23" t="s">
        <v>380</v>
      </c>
      <c r="C65" s="22" t="s">
        <v>112</v>
      </c>
      <c r="D65" s="22"/>
      <c r="E65" s="22"/>
      <c r="F65" s="22">
        <f>F64</f>
        <v>236.59</v>
      </c>
      <c r="G65" s="26"/>
      <c r="H65" s="26"/>
      <c r="I65" s="26"/>
      <c r="J65" s="26"/>
      <c r="K65" s="26">
        <f t="shared" si="8"/>
        <v>0</v>
      </c>
    </row>
    <row r="66" spans="1:11" ht="60" hidden="1">
      <c r="A66" s="27" t="s">
        <v>0</v>
      </c>
      <c r="B66" s="23" t="s">
        <v>380</v>
      </c>
      <c r="C66" s="22" t="s">
        <v>112</v>
      </c>
      <c r="D66" s="23" t="s">
        <v>3</v>
      </c>
      <c r="E66" s="23" t="s">
        <v>4</v>
      </c>
      <c r="F66" s="22">
        <f>F65</f>
        <v>236.59</v>
      </c>
      <c r="G66" s="23" t="s">
        <v>6</v>
      </c>
      <c r="H66" s="23" t="s">
        <v>209</v>
      </c>
      <c r="I66" s="23" t="s">
        <v>7</v>
      </c>
      <c r="J66" s="23" t="s">
        <v>8</v>
      </c>
      <c r="K66" s="26" t="e">
        <f t="shared" si="8"/>
        <v>#VALUE!</v>
      </c>
    </row>
    <row r="67" spans="1:11" ht="15" hidden="1">
      <c r="A67" s="27">
        <v>1</v>
      </c>
      <c r="B67" s="23" t="s">
        <v>380</v>
      </c>
      <c r="C67" s="22" t="s">
        <v>112</v>
      </c>
      <c r="D67" s="22">
        <v>4</v>
      </c>
      <c r="E67" s="22">
        <v>5</v>
      </c>
      <c r="F67" s="22">
        <f>F66</f>
        <v>236.59</v>
      </c>
      <c r="G67" s="22">
        <v>7</v>
      </c>
      <c r="H67" s="22">
        <v>8</v>
      </c>
      <c r="I67" s="22">
        <v>9</v>
      </c>
      <c r="J67" s="22">
        <v>10</v>
      </c>
      <c r="K67" s="26">
        <f t="shared" si="8"/>
        <v>11.799999999999999</v>
      </c>
    </row>
    <row r="68" spans="1:11" ht="30" hidden="1">
      <c r="A68" s="25" t="s">
        <v>59</v>
      </c>
      <c r="B68" s="23" t="s">
        <v>380</v>
      </c>
      <c r="C68" s="22" t="s">
        <v>112</v>
      </c>
      <c r="D68" s="22">
        <v>3.2</v>
      </c>
      <c r="E68" s="22">
        <v>2.42</v>
      </c>
      <c r="F68" s="22">
        <f>F67</f>
        <v>236.59</v>
      </c>
      <c r="G68" s="26">
        <f t="shared" si="4"/>
        <v>572.5477999999999</v>
      </c>
      <c r="H68" s="26">
        <f aca="true" t="shared" si="15" ref="H68:H78">G68*30.3/100</f>
        <v>173.4819834</v>
      </c>
      <c r="I68" s="26">
        <f t="shared" si="6"/>
        <v>171.76433999999998</v>
      </c>
      <c r="J68" s="26">
        <f t="shared" si="7"/>
        <v>917.7941233999999</v>
      </c>
      <c r="K68" s="26">
        <f t="shared" si="8"/>
        <v>1082.9970656119997</v>
      </c>
    </row>
    <row r="69" spans="1:11" ht="45" hidden="1">
      <c r="A69" s="25" t="s">
        <v>61</v>
      </c>
      <c r="B69" s="23" t="s">
        <v>380</v>
      </c>
      <c r="C69" s="22" t="s">
        <v>112</v>
      </c>
      <c r="D69" s="22">
        <v>3.5</v>
      </c>
      <c r="E69" s="22">
        <v>1.33</v>
      </c>
      <c r="F69" s="22">
        <f>F68</f>
        <v>236.59</v>
      </c>
      <c r="G69" s="26">
        <f t="shared" si="4"/>
        <v>314.66470000000004</v>
      </c>
      <c r="H69" s="26">
        <f t="shared" si="15"/>
        <v>95.3434041</v>
      </c>
      <c r="I69" s="26">
        <f t="shared" si="6"/>
        <v>94.39941</v>
      </c>
      <c r="J69" s="26">
        <f t="shared" si="7"/>
        <v>504.4075141</v>
      </c>
      <c r="K69" s="26">
        <f t="shared" si="8"/>
        <v>595.200866638</v>
      </c>
    </row>
    <row r="70" spans="1:11" ht="15">
      <c r="A70" s="25" t="s">
        <v>385</v>
      </c>
      <c r="B70" s="23" t="s">
        <v>388</v>
      </c>
      <c r="C70" s="22" t="s">
        <v>112</v>
      </c>
      <c r="D70" s="22">
        <v>3.2</v>
      </c>
      <c r="E70" s="22">
        <f>327.4/100</f>
        <v>3.2739999999999996</v>
      </c>
      <c r="F70" s="22">
        <f>F68</f>
        <v>236.59</v>
      </c>
      <c r="G70" s="26">
        <f>F70*E70</f>
        <v>774.59566</v>
      </c>
      <c r="H70" s="26">
        <f t="shared" si="15"/>
        <v>234.70248498</v>
      </c>
      <c r="I70" s="26">
        <f>G70*30/100</f>
        <v>232.378698</v>
      </c>
      <c r="J70" s="26">
        <f>G70+H70+I70</f>
        <v>1241.67684298</v>
      </c>
      <c r="K70" s="26">
        <f t="shared" si="8"/>
        <v>1465.1786747163999</v>
      </c>
    </row>
    <row r="71" spans="1:11" ht="15">
      <c r="A71" s="25" t="s">
        <v>389</v>
      </c>
      <c r="B71" s="23" t="s">
        <v>390</v>
      </c>
      <c r="C71" s="22" t="s">
        <v>112</v>
      </c>
      <c r="D71" s="22">
        <v>3.2</v>
      </c>
      <c r="E71" s="22">
        <f>407.6/100</f>
        <v>4.0760000000000005</v>
      </c>
      <c r="F71" s="22">
        <f>F69</f>
        <v>236.59</v>
      </c>
      <c r="G71" s="26">
        <f>F71*E71</f>
        <v>964.3408400000002</v>
      </c>
      <c r="H71" s="26">
        <f>G71*30.3/100</f>
        <v>292.19527452000005</v>
      </c>
      <c r="I71" s="26">
        <f>G71*30/100</f>
        <v>289.30225200000007</v>
      </c>
      <c r="J71" s="26">
        <f>G71+H71+I71</f>
        <v>1545.8383665200004</v>
      </c>
      <c r="K71" s="26">
        <f t="shared" si="8"/>
        <v>1824.0892724936002</v>
      </c>
    </row>
    <row r="72" spans="1:11" ht="15">
      <c r="A72" s="25" t="s">
        <v>391</v>
      </c>
      <c r="B72" s="23" t="s">
        <v>392</v>
      </c>
      <c r="C72" s="22" t="s">
        <v>112</v>
      </c>
      <c r="D72" s="22">
        <v>3.5</v>
      </c>
      <c r="E72" s="22">
        <f>587.4/100</f>
        <v>5.874</v>
      </c>
      <c r="F72" s="22">
        <f>F69</f>
        <v>236.59</v>
      </c>
      <c r="G72" s="26">
        <f t="shared" si="4"/>
        <v>1389.72966</v>
      </c>
      <c r="H72" s="26">
        <f t="shared" si="15"/>
        <v>421.08808698</v>
      </c>
      <c r="I72" s="26">
        <f t="shared" si="6"/>
        <v>416.91889799999996</v>
      </c>
      <c r="J72" s="26">
        <f t="shared" si="7"/>
        <v>2227.73664498</v>
      </c>
      <c r="K72" s="26">
        <f t="shared" si="8"/>
        <v>2628.7292410764</v>
      </c>
    </row>
    <row r="73" spans="1:11" ht="15" hidden="1">
      <c r="A73" s="25"/>
      <c r="B73" s="23" t="s">
        <v>388</v>
      </c>
      <c r="C73" s="22"/>
      <c r="D73" s="22"/>
      <c r="E73" s="22"/>
      <c r="F73" s="22">
        <f>F72</f>
        <v>236.59</v>
      </c>
      <c r="G73" s="26"/>
      <c r="H73" s="26">
        <f t="shared" si="15"/>
        <v>0</v>
      </c>
      <c r="I73" s="26"/>
      <c r="J73" s="26"/>
      <c r="K73" s="26">
        <f t="shared" si="8"/>
        <v>0</v>
      </c>
    </row>
    <row r="74" spans="1:11" ht="15">
      <c r="A74" s="25" t="s">
        <v>393</v>
      </c>
      <c r="B74" s="23" t="s">
        <v>394</v>
      </c>
      <c r="C74" s="22" t="s">
        <v>19</v>
      </c>
      <c r="D74" s="22">
        <v>3.5</v>
      </c>
      <c r="E74" s="22">
        <f>532.2/100</f>
        <v>5.322</v>
      </c>
      <c r="F74" s="22">
        <f>F73</f>
        <v>236.59</v>
      </c>
      <c r="G74" s="26">
        <f t="shared" si="4"/>
        <v>1259.13198</v>
      </c>
      <c r="H74" s="26">
        <f t="shared" si="15"/>
        <v>381.51698994000003</v>
      </c>
      <c r="I74" s="26">
        <f t="shared" si="6"/>
        <v>377.73959400000007</v>
      </c>
      <c r="J74" s="26">
        <f t="shared" si="7"/>
        <v>2018.3885639400003</v>
      </c>
      <c r="K74" s="26">
        <f t="shared" si="8"/>
        <v>2381.6985054492</v>
      </c>
    </row>
    <row r="75" spans="1:11" ht="15">
      <c r="A75" s="25" t="s">
        <v>395</v>
      </c>
      <c r="B75" s="23" t="s">
        <v>396</v>
      </c>
      <c r="C75" s="22" t="s">
        <v>19</v>
      </c>
      <c r="D75" s="22">
        <v>3.8</v>
      </c>
      <c r="E75" s="22">
        <f>191.3/100</f>
        <v>1.913</v>
      </c>
      <c r="F75" s="22">
        <f>F74</f>
        <v>236.59</v>
      </c>
      <c r="G75" s="26">
        <f t="shared" si="4"/>
        <v>452.59667</v>
      </c>
      <c r="H75" s="26">
        <f t="shared" si="15"/>
        <v>137.13679101000002</v>
      </c>
      <c r="I75" s="26">
        <f t="shared" si="6"/>
        <v>135.779001</v>
      </c>
      <c r="J75" s="26">
        <f t="shared" si="7"/>
        <v>725.51246201</v>
      </c>
      <c r="K75" s="26">
        <f t="shared" si="8"/>
        <v>856.1047051718</v>
      </c>
    </row>
    <row r="76" spans="1:11" ht="30">
      <c r="A76" s="25" t="s">
        <v>397</v>
      </c>
      <c r="B76" s="23" t="s">
        <v>398</v>
      </c>
      <c r="C76" s="22" t="s">
        <v>19</v>
      </c>
      <c r="D76" s="22">
        <v>3.8</v>
      </c>
      <c r="E76" s="22">
        <f>139.7/100</f>
        <v>1.3969999999999998</v>
      </c>
      <c r="F76" s="22">
        <f>F75</f>
        <v>236.59</v>
      </c>
      <c r="G76" s="26">
        <f aca="true" t="shared" si="16" ref="G76:G86">F76*E76</f>
        <v>330.51622999999995</v>
      </c>
      <c r="H76" s="26">
        <f>G76*30.3/100</f>
        <v>100.14641768999998</v>
      </c>
      <c r="I76" s="26">
        <f aca="true" t="shared" si="17" ref="I76:I86">G76*30/100</f>
        <v>99.15486899999998</v>
      </c>
      <c r="J76" s="26">
        <f aca="true" t="shared" si="18" ref="J76:J86">G76+H76+I76</f>
        <v>529.8175166899999</v>
      </c>
      <c r="K76" s="26">
        <f t="shared" si="8"/>
        <v>625.1846696941999</v>
      </c>
    </row>
    <row r="77" spans="1:11" ht="30" hidden="1">
      <c r="A77" s="25" t="s">
        <v>399</v>
      </c>
      <c r="B77" s="23" t="s">
        <v>401</v>
      </c>
      <c r="C77" s="22" t="s">
        <v>19</v>
      </c>
      <c r="D77" s="22">
        <v>3.8</v>
      </c>
      <c r="E77" s="22">
        <f>234.7/100</f>
        <v>2.347</v>
      </c>
      <c r="F77" s="22">
        <f>F76</f>
        <v>236.59</v>
      </c>
      <c r="G77" s="26">
        <f t="shared" si="16"/>
        <v>555.27673</v>
      </c>
      <c r="H77" s="26">
        <f>G77*30.3/100</f>
        <v>168.24884919</v>
      </c>
      <c r="I77" s="26">
        <f t="shared" si="17"/>
        <v>166.58301900000004</v>
      </c>
      <c r="J77" s="26">
        <f t="shared" si="18"/>
        <v>890.1085981900001</v>
      </c>
      <c r="K77" s="26">
        <f t="shared" si="8"/>
        <v>1050.3281458642</v>
      </c>
    </row>
    <row r="78" spans="1:11" ht="30" hidden="1">
      <c r="A78" s="25" t="s">
        <v>400</v>
      </c>
      <c r="B78" s="23" t="s">
        <v>402</v>
      </c>
      <c r="C78" s="22" t="s">
        <v>19</v>
      </c>
      <c r="D78" s="22">
        <v>3</v>
      </c>
      <c r="E78" s="22">
        <f>369.2/100</f>
        <v>3.6919999999999997</v>
      </c>
      <c r="F78" s="22">
        <f>F75</f>
        <v>236.59</v>
      </c>
      <c r="G78" s="26">
        <f t="shared" si="16"/>
        <v>873.49028</v>
      </c>
      <c r="H78" s="26">
        <f t="shared" si="15"/>
        <v>264.66755484000004</v>
      </c>
      <c r="I78" s="26">
        <f t="shared" si="17"/>
        <v>262.047084</v>
      </c>
      <c r="J78" s="26">
        <f t="shared" si="18"/>
        <v>1400.2049188400001</v>
      </c>
      <c r="K78" s="26">
        <f t="shared" si="8"/>
        <v>1652.2418042312001</v>
      </c>
    </row>
    <row r="79" spans="1:11" ht="15">
      <c r="A79" s="28" t="s">
        <v>403</v>
      </c>
      <c r="B79" s="23" t="s">
        <v>405</v>
      </c>
      <c r="C79" s="30" t="s">
        <v>112</v>
      </c>
      <c r="D79" s="30">
        <v>3</v>
      </c>
      <c r="E79" s="30">
        <f>491.4/100</f>
        <v>4.914</v>
      </c>
      <c r="F79" s="30">
        <f>F78</f>
        <v>236.59</v>
      </c>
      <c r="G79" s="31">
        <f t="shared" si="16"/>
        <v>1162.6032599999999</v>
      </c>
      <c r="H79" s="31">
        <f aca="true" t="shared" si="19" ref="H79:H86">G79*30.3/100</f>
        <v>352.26878777999997</v>
      </c>
      <c r="I79" s="31">
        <f t="shared" si="17"/>
        <v>348.78097799999995</v>
      </c>
      <c r="J79" s="31">
        <f t="shared" si="18"/>
        <v>1863.6530257799998</v>
      </c>
      <c r="K79" s="26">
        <f t="shared" si="8"/>
        <v>2199.1105704203997</v>
      </c>
    </row>
    <row r="80" spans="1:11" ht="60" hidden="1">
      <c r="A80" s="25" t="s">
        <v>180</v>
      </c>
      <c r="B80" s="23" t="s">
        <v>398</v>
      </c>
      <c r="C80" s="22" t="s">
        <v>181</v>
      </c>
      <c r="D80" s="22">
        <v>3.5</v>
      </c>
      <c r="E80" s="22">
        <v>0.93</v>
      </c>
      <c r="F80" s="22">
        <f>F79</f>
        <v>236.59</v>
      </c>
      <c r="G80" s="26">
        <f t="shared" si="16"/>
        <v>220.02870000000001</v>
      </c>
      <c r="H80" s="26">
        <f t="shared" si="19"/>
        <v>66.6686961</v>
      </c>
      <c r="I80" s="26">
        <f t="shared" si="17"/>
        <v>66.00861</v>
      </c>
      <c r="J80" s="26">
        <f t="shared" si="18"/>
        <v>352.70600609999997</v>
      </c>
      <c r="K80" s="26">
        <f t="shared" si="8"/>
        <v>416.19308719799994</v>
      </c>
    </row>
    <row r="81" spans="1:11" ht="60" hidden="1">
      <c r="A81" s="25" t="s">
        <v>182</v>
      </c>
      <c r="B81" s="23" t="s">
        <v>398</v>
      </c>
      <c r="C81" s="22" t="s">
        <v>181</v>
      </c>
      <c r="D81" s="22">
        <v>3.5</v>
      </c>
      <c r="E81" s="22">
        <v>1.26</v>
      </c>
      <c r="F81" s="22">
        <f>F80</f>
        <v>236.59</v>
      </c>
      <c r="G81" s="26">
        <f t="shared" si="16"/>
        <v>298.1034</v>
      </c>
      <c r="H81" s="26">
        <f t="shared" si="19"/>
        <v>90.32533020000001</v>
      </c>
      <c r="I81" s="26">
        <f t="shared" si="17"/>
        <v>89.43102</v>
      </c>
      <c r="J81" s="26">
        <f t="shared" si="18"/>
        <v>477.8597502</v>
      </c>
      <c r="K81" s="26">
        <f t="shared" si="8"/>
        <v>563.874505236</v>
      </c>
    </row>
    <row r="82" spans="1:11" ht="15">
      <c r="A82" s="25" t="s">
        <v>404</v>
      </c>
      <c r="B82" s="23" t="s">
        <v>406</v>
      </c>
      <c r="C82" s="30" t="s">
        <v>112</v>
      </c>
      <c r="D82" s="22">
        <v>3</v>
      </c>
      <c r="E82" s="22">
        <f>212/100</f>
        <v>2.12</v>
      </c>
      <c r="F82" s="22">
        <f>F81</f>
        <v>236.59</v>
      </c>
      <c r="G82" s="26">
        <f t="shared" si="16"/>
        <v>501.5708</v>
      </c>
      <c r="H82" s="26">
        <f t="shared" si="19"/>
        <v>151.9759524</v>
      </c>
      <c r="I82" s="26">
        <f t="shared" si="17"/>
        <v>150.47124</v>
      </c>
      <c r="J82" s="26">
        <f t="shared" si="18"/>
        <v>804.0179924</v>
      </c>
      <c r="K82" s="26">
        <f t="shared" si="8"/>
        <v>948.741231032</v>
      </c>
    </row>
    <row r="83" spans="1:11" ht="30">
      <c r="A83" s="25" t="s">
        <v>407</v>
      </c>
      <c r="B83" s="23" t="s">
        <v>408</v>
      </c>
      <c r="C83" s="30" t="s">
        <v>112</v>
      </c>
      <c r="D83" s="22">
        <v>3</v>
      </c>
      <c r="E83" s="22">
        <f>87/100</f>
        <v>0.87</v>
      </c>
      <c r="F83" s="22">
        <f>F82</f>
        <v>236.59</v>
      </c>
      <c r="G83" s="26">
        <f t="shared" si="16"/>
        <v>205.8333</v>
      </c>
      <c r="H83" s="26">
        <f t="shared" si="19"/>
        <v>62.3674899</v>
      </c>
      <c r="I83" s="26">
        <f t="shared" si="17"/>
        <v>61.74999</v>
      </c>
      <c r="J83" s="26">
        <f t="shared" si="18"/>
        <v>329.95077990000004</v>
      </c>
      <c r="K83" s="26">
        <f t="shared" si="8"/>
        <v>389.34192028200005</v>
      </c>
    </row>
    <row r="84" spans="1:11" ht="15">
      <c r="A84" s="25" t="s">
        <v>409</v>
      </c>
      <c r="B84" s="23" t="s">
        <v>410</v>
      </c>
      <c r="C84" s="22" t="s">
        <v>112</v>
      </c>
      <c r="D84" s="22">
        <v>3</v>
      </c>
      <c r="E84" s="22">
        <f>26.7/100</f>
        <v>0.267</v>
      </c>
      <c r="F84" s="22">
        <f>F82</f>
        <v>236.59</v>
      </c>
      <c r="G84" s="26">
        <f t="shared" si="16"/>
        <v>63.16953</v>
      </c>
      <c r="H84" s="26">
        <f t="shared" si="19"/>
        <v>19.14036759</v>
      </c>
      <c r="I84" s="26">
        <f t="shared" si="17"/>
        <v>18.950859</v>
      </c>
      <c r="J84" s="26">
        <f t="shared" si="18"/>
        <v>101.26075659</v>
      </c>
      <c r="K84" s="26">
        <f t="shared" si="8"/>
        <v>119.48769277619999</v>
      </c>
    </row>
    <row r="85" spans="1:11" ht="30" hidden="1">
      <c r="A85" s="25" t="s">
        <v>186</v>
      </c>
      <c r="B85" s="23" t="s">
        <v>406</v>
      </c>
      <c r="C85" s="22" t="s">
        <v>112</v>
      </c>
      <c r="D85" s="22">
        <v>3</v>
      </c>
      <c r="E85" s="22">
        <v>0.7</v>
      </c>
      <c r="F85" s="22">
        <f>F84</f>
        <v>236.59</v>
      </c>
      <c r="G85" s="26">
        <f t="shared" si="16"/>
        <v>165.613</v>
      </c>
      <c r="H85" s="26">
        <f t="shared" si="19"/>
        <v>50.180739</v>
      </c>
      <c r="I85" s="26">
        <f t="shared" si="17"/>
        <v>49.6839</v>
      </c>
      <c r="J85" s="26">
        <f t="shared" si="18"/>
        <v>265.477639</v>
      </c>
      <c r="K85" s="26">
        <f t="shared" si="8"/>
        <v>313.26361402</v>
      </c>
    </row>
    <row r="86" spans="1:11" ht="15" hidden="1">
      <c r="A86" s="25" t="s">
        <v>247</v>
      </c>
      <c r="B86" s="23" t="s">
        <v>406</v>
      </c>
      <c r="C86" s="22" t="s">
        <v>112</v>
      </c>
      <c r="D86" s="22">
        <v>3</v>
      </c>
      <c r="E86" s="22">
        <v>0.3</v>
      </c>
      <c r="F86" s="22">
        <f>F85</f>
        <v>236.59</v>
      </c>
      <c r="G86" s="26">
        <f t="shared" si="16"/>
        <v>70.977</v>
      </c>
      <c r="H86" s="26">
        <f t="shared" si="19"/>
        <v>21.506031000000004</v>
      </c>
      <c r="I86" s="26">
        <f t="shared" si="17"/>
        <v>21.2931</v>
      </c>
      <c r="J86" s="26">
        <f t="shared" si="18"/>
        <v>113.776131</v>
      </c>
      <c r="K86" s="26">
        <f t="shared" si="8"/>
        <v>134.25583458</v>
      </c>
    </row>
    <row r="87" spans="1:11" ht="14.25">
      <c r="A87" s="44" t="s">
        <v>411</v>
      </c>
      <c r="B87" s="72" t="s">
        <v>412</v>
      </c>
      <c r="C87" s="73"/>
      <c r="D87" s="73"/>
      <c r="E87" s="73"/>
      <c r="F87" s="73"/>
      <c r="G87" s="73"/>
      <c r="H87" s="73"/>
      <c r="I87" s="73"/>
      <c r="J87" s="73"/>
      <c r="K87" s="74"/>
    </row>
    <row r="88" spans="1:11" ht="30" hidden="1">
      <c r="A88" s="25" t="s">
        <v>189</v>
      </c>
      <c r="B88" s="23" t="s">
        <v>406</v>
      </c>
      <c r="C88" s="22" t="s">
        <v>112</v>
      </c>
      <c r="D88" s="22">
        <v>4</v>
      </c>
      <c r="E88" s="22">
        <v>0.48</v>
      </c>
      <c r="F88" s="22">
        <f>F87</f>
        <v>0</v>
      </c>
      <c r="G88" s="26">
        <f>F88*E88</f>
        <v>0</v>
      </c>
      <c r="H88" s="26">
        <f>G88*30.3/100</f>
        <v>0</v>
      </c>
      <c r="I88" s="26">
        <f>G88*30/100</f>
        <v>0</v>
      </c>
      <c r="J88" s="26">
        <f>G88+H88+I88</f>
        <v>0</v>
      </c>
      <c r="K88" s="26">
        <f t="shared" si="8"/>
        <v>0</v>
      </c>
    </row>
    <row r="89" spans="1:11" ht="30">
      <c r="A89" s="25" t="s">
        <v>417</v>
      </c>
      <c r="B89" s="23"/>
      <c r="C89" s="22"/>
      <c r="D89" s="22"/>
      <c r="E89" s="22"/>
      <c r="F89" s="22"/>
      <c r="G89" s="26"/>
      <c r="H89" s="26"/>
      <c r="I89" s="26"/>
      <c r="J89" s="26"/>
      <c r="K89" s="26"/>
    </row>
    <row r="90" spans="1:11" ht="15">
      <c r="A90" s="25" t="s">
        <v>324</v>
      </c>
      <c r="B90" s="23" t="s">
        <v>414</v>
      </c>
      <c r="C90" s="22" t="s">
        <v>85</v>
      </c>
      <c r="D90" s="22">
        <v>3</v>
      </c>
      <c r="E90" s="22">
        <f>220.8/100</f>
        <v>2.208</v>
      </c>
      <c r="F90" s="22">
        <f>F84</f>
        <v>236.59</v>
      </c>
      <c r="G90" s="26">
        <f>F90*E90</f>
        <v>522.3907200000001</v>
      </c>
      <c r="H90" s="26">
        <f>G90*30.3/100</f>
        <v>158.28438816000005</v>
      </c>
      <c r="I90" s="26">
        <f>G90*30/100</f>
        <v>156.71721600000004</v>
      </c>
      <c r="J90" s="26">
        <f>G90+H90+I90</f>
        <v>837.3923241600002</v>
      </c>
      <c r="K90" s="26">
        <f t="shared" si="8"/>
        <v>988.1229425088002</v>
      </c>
    </row>
    <row r="91" spans="1:11" ht="15">
      <c r="A91" s="25" t="s">
        <v>413</v>
      </c>
      <c r="B91" s="23" t="s">
        <v>415</v>
      </c>
      <c r="C91" s="22" t="s">
        <v>85</v>
      </c>
      <c r="D91" s="22">
        <v>3</v>
      </c>
      <c r="E91" s="22">
        <f>233.5/100</f>
        <v>2.335</v>
      </c>
      <c r="F91" s="22">
        <f>F90</f>
        <v>236.59</v>
      </c>
      <c r="G91" s="26">
        <f>F91*E91</f>
        <v>552.43765</v>
      </c>
      <c r="H91" s="26">
        <f>G91*30.3/100</f>
        <v>167.38860795</v>
      </c>
      <c r="I91" s="26">
        <f>G91*30/100</f>
        <v>165.731295</v>
      </c>
      <c r="J91" s="26">
        <f>G91+H91+I91</f>
        <v>885.55755295</v>
      </c>
      <c r="K91" s="26">
        <f t="shared" si="8"/>
        <v>1044.9579124809998</v>
      </c>
    </row>
    <row r="92" spans="1:11" ht="14.25">
      <c r="A92" s="44" t="s">
        <v>416</v>
      </c>
      <c r="B92" s="72"/>
      <c r="C92" s="73"/>
      <c r="D92" s="73"/>
      <c r="E92" s="73"/>
      <c r="F92" s="73"/>
      <c r="G92" s="73"/>
      <c r="H92" s="73"/>
      <c r="I92" s="73"/>
      <c r="J92" s="73"/>
      <c r="K92" s="74"/>
    </row>
    <row r="93" spans="1:11" ht="30">
      <c r="A93" s="25" t="s">
        <v>418</v>
      </c>
      <c r="B93" s="23"/>
      <c r="C93" s="22"/>
      <c r="D93" s="22"/>
      <c r="E93" s="22"/>
      <c r="F93" s="22"/>
      <c r="G93" s="26"/>
      <c r="H93" s="26"/>
      <c r="I93" s="26"/>
      <c r="J93" s="26"/>
      <c r="K93" s="26"/>
    </row>
    <row r="94" spans="1:11" ht="15">
      <c r="A94" s="25" t="s">
        <v>324</v>
      </c>
      <c r="B94" s="23" t="s">
        <v>421</v>
      </c>
      <c r="C94" s="22" t="s">
        <v>85</v>
      </c>
      <c r="D94" s="22">
        <v>3</v>
      </c>
      <c r="E94" s="22">
        <f>58.4/100</f>
        <v>0.584</v>
      </c>
      <c r="F94" s="22">
        <f>F90</f>
        <v>236.59</v>
      </c>
      <c r="G94" s="26">
        <f>F94*E94</f>
        <v>138.16855999999999</v>
      </c>
      <c r="H94" s="26">
        <f>G94*30.3/100</f>
        <v>41.865073679999995</v>
      </c>
      <c r="I94" s="26">
        <f>G94*30/100</f>
        <v>41.450568</v>
      </c>
      <c r="J94" s="26">
        <f>G94+H94+I94</f>
        <v>221.48420167999998</v>
      </c>
      <c r="K94" s="26">
        <f t="shared" si="8"/>
        <v>261.3513579824</v>
      </c>
    </row>
    <row r="95" spans="1:11" ht="15">
      <c r="A95" s="25" t="s">
        <v>413</v>
      </c>
      <c r="B95" s="23" t="s">
        <v>422</v>
      </c>
      <c r="C95" s="22" t="s">
        <v>85</v>
      </c>
      <c r="D95" s="22">
        <v>3</v>
      </c>
      <c r="E95" s="22">
        <f>26.7/100</f>
        <v>0.267</v>
      </c>
      <c r="F95" s="22">
        <f>F94</f>
        <v>236.59</v>
      </c>
      <c r="G95" s="26">
        <f>F95*E95</f>
        <v>63.16953</v>
      </c>
      <c r="H95" s="26">
        <f>G95*30.3/100</f>
        <v>19.14036759</v>
      </c>
      <c r="I95" s="26">
        <f>G95*30/100</f>
        <v>18.950859</v>
      </c>
      <c r="J95" s="26">
        <f>G95+H95+I95</f>
        <v>101.26075659</v>
      </c>
      <c r="K95" s="26">
        <f t="shared" si="8"/>
        <v>119.48769277619999</v>
      </c>
    </row>
    <row r="96" spans="1:11" ht="14.25">
      <c r="A96" s="44" t="s">
        <v>419</v>
      </c>
      <c r="B96" s="72"/>
      <c r="C96" s="73"/>
      <c r="D96" s="73"/>
      <c r="E96" s="73"/>
      <c r="F96" s="73"/>
      <c r="G96" s="73"/>
      <c r="H96" s="73"/>
      <c r="I96" s="73"/>
      <c r="J96" s="73"/>
      <c r="K96" s="74"/>
    </row>
    <row r="97" spans="1:11" ht="15">
      <c r="A97" s="25" t="s">
        <v>420</v>
      </c>
      <c r="B97" s="23"/>
      <c r="C97" s="22"/>
      <c r="D97" s="22">
        <v>3</v>
      </c>
      <c r="E97" s="22"/>
      <c r="F97" s="22"/>
      <c r="G97" s="26"/>
      <c r="H97" s="26"/>
      <c r="I97" s="26"/>
      <c r="J97" s="26"/>
      <c r="K97" s="26"/>
    </row>
    <row r="98" spans="1:11" ht="15">
      <c r="A98" s="25" t="s">
        <v>423</v>
      </c>
      <c r="B98" s="23" t="s">
        <v>428</v>
      </c>
      <c r="C98" s="22" t="s">
        <v>85</v>
      </c>
      <c r="D98" s="22">
        <v>3</v>
      </c>
      <c r="E98" s="22">
        <f>77.8/100</f>
        <v>0.778</v>
      </c>
      <c r="F98" s="22">
        <f>F94</f>
        <v>236.59</v>
      </c>
      <c r="G98" s="26">
        <f aca="true" t="shared" si="20" ref="G98:G104">F98*E98</f>
        <v>184.06702</v>
      </c>
      <c r="H98" s="26">
        <f aca="true" t="shared" si="21" ref="H98:H104">G98*30.3/100</f>
        <v>55.77230706</v>
      </c>
      <c r="I98" s="26">
        <f aca="true" t="shared" si="22" ref="I98:I104">G98*30/100</f>
        <v>55.22010600000001</v>
      </c>
      <c r="J98" s="26">
        <f aca="true" t="shared" si="23" ref="J98:J104">G98+H98+I98</f>
        <v>295.05943306</v>
      </c>
      <c r="K98" s="26">
        <f t="shared" si="8"/>
        <v>348.1701310108</v>
      </c>
    </row>
    <row r="99" spans="1:17" ht="15">
      <c r="A99" s="25" t="s">
        <v>346</v>
      </c>
      <c r="B99" s="23" t="s">
        <v>429</v>
      </c>
      <c r="C99" s="22" t="s">
        <v>85</v>
      </c>
      <c r="D99" s="22">
        <v>3</v>
      </c>
      <c r="E99" s="22">
        <f>85.9/100</f>
        <v>0.8590000000000001</v>
      </c>
      <c r="F99" s="22">
        <f>F95</f>
        <v>236.59</v>
      </c>
      <c r="G99" s="26">
        <f t="shared" si="20"/>
        <v>203.23081000000002</v>
      </c>
      <c r="H99" s="26">
        <f t="shared" si="21"/>
        <v>61.57893543000001</v>
      </c>
      <c r="I99" s="26">
        <f t="shared" si="22"/>
        <v>60.969243000000006</v>
      </c>
      <c r="J99" s="26">
        <f t="shared" si="23"/>
        <v>325.77898843</v>
      </c>
      <c r="K99" s="26">
        <f t="shared" si="8"/>
        <v>384.4192063474</v>
      </c>
      <c r="Q99" s="49"/>
    </row>
    <row r="100" spans="1:11" ht="15">
      <c r="A100" s="25" t="s">
        <v>424</v>
      </c>
      <c r="B100" s="23" t="s">
        <v>430</v>
      </c>
      <c r="C100" s="22" t="s">
        <v>85</v>
      </c>
      <c r="D100" s="22">
        <v>3</v>
      </c>
      <c r="E100" s="22">
        <f>94.83/100</f>
        <v>0.9483</v>
      </c>
      <c r="F100" s="22">
        <f>F99</f>
        <v>236.59</v>
      </c>
      <c r="G100" s="26">
        <f t="shared" si="20"/>
        <v>224.35829700000002</v>
      </c>
      <c r="H100" s="26">
        <f t="shared" si="21"/>
        <v>67.98056399100001</v>
      </c>
      <c r="I100" s="26">
        <f t="shared" si="22"/>
        <v>67.3074891</v>
      </c>
      <c r="J100" s="26">
        <f t="shared" si="23"/>
        <v>359.64635009100004</v>
      </c>
      <c r="K100" s="26">
        <f t="shared" si="8"/>
        <v>424.38269310738</v>
      </c>
    </row>
    <row r="101" spans="1:11" ht="15">
      <c r="A101" s="25" t="s">
        <v>425</v>
      </c>
      <c r="B101" s="23" t="s">
        <v>431</v>
      </c>
      <c r="C101" s="22" t="s">
        <v>85</v>
      </c>
      <c r="D101" s="22">
        <v>3</v>
      </c>
      <c r="E101" s="22">
        <f>115.1/100</f>
        <v>1.151</v>
      </c>
      <c r="F101" s="22">
        <f>F98</f>
        <v>236.59</v>
      </c>
      <c r="G101" s="26">
        <f t="shared" si="20"/>
        <v>272.31509</v>
      </c>
      <c r="H101" s="26">
        <f t="shared" si="21"/>
        <v>82.51147227</v>
      </c>
      <c r="I101" s="26">
        <f t="shared" si="22"/>
        <v>81.694527</v>
      </c>
      <c r="J101" s="26">
        <f t="shared" si="23"/>
        <v>436.52108927</v>
      </c>
      <c r="K101" s="26">
        <f t="shared" si="8"/>
        <v>515.0948853386</v>
      </c>
    </row>
    <row r="102" spans="1:11" ht="15">
      <c r="A102" s="25" t="s">
        <v>426</v>
      </c>
      <c r="B102" s="23" t="s">
        <v>432</v>
      </c>
      <c r="C102" s="22" t="s">
        <v>85</v>
      </c>
      <c r="D102" s="22">
        <v>3</v>
      </c>
      <c r="E102" s="22">
        <f>121.4/100</f>
        <v>1.214</v>
      </c>
      <c r="F102" s="22">
        <f>F98</f>
        <v>236.59</v>
      </c>
      <c r="G102" s="26">
        <f t="shared" si="20"/>
        <v>287.22026</v>
      </c>
      <c r="H102" s="26">
        <f t="shared" si="21"/>
        <v>87.02773877999999</v>
      </c>
      <c r="I102" s="26">
        <f t="shared" si="22"/>
        <v>86.166078</v>
      </c>
      <c r="J102" s="26">
        <f t="shared" si="23"/>
        <v>460.41407677999996</v>
      </c>
      <c r="K102" s="26">
        <f t="shared" si="8"/>
        <v>543.2886106003999</v>
      </c>
    </row>
    <row r="103" spans="1:11" ht="15">
      <c r="A103" s="25" t="s">
        <v>324</v>
      </c>
      <c r="B103" s="23" t="s">
        <v>433</v>
      </c>
      <c r="C103" s="22" t="s">
        <v>85</v>
      </c>
      <c r="D103" s="22">
        <v>3</v>
      </c>
      <c r="E103" s="22">
        <f>134.9/100</f>
        <v>1.349</v>
      </c>
      <c r="F103" s="22">
        <f>F99</f>
        <v>236.59</v>
      </c>
      <c r="G103" s="26">
        <f t="shared" si="20"/>
        <v>319.15991</v>
      </c>
      <c r="H103" s="26">
        <f t="shared" si="21"/>
        <v>96.70545273000002</v>
      </c>
      <c r="I103" s="26">
        <f t="shared" si="22"/>
        <v>95.747973</v>
      </c>
      <c r="J103" s="26">
        <f t="shared" si="23"/>
        <v>511.61333573</v>
      </c>
      <c r="K103" s="26">
        <f t="shared" si="8"/>
        <v>603.7037361614</v>
      </c>
    </row>
    <row r="104" spans="1:11" ht="15">
      <c r="A104" s="25" t="s">
        <v>427</v>
      </c>
      <c r="B104" s="23" t="s">
        <v>434</v>
      </c>
      <c r="C104" s="22" t="s">
        <v>85</v>
      </c>
      <c r="D104" s="22">
        <v>3</v>
      </c>
      <c r="E104" s="22">
        <f>158.5/100</f>
        <v>1.585</v>
      </c>
      <c r="F104" s="22">
        <f>F100</f>
        <v>236.59</v>
      </c>
      <c r="G104" s="26">
        <f t="shared" si="20"/>
        <v>374.99515</v>
      </c>
      <c r="H104" s="26">
        <f t="shared" si="21"/>
        <v>113.62353045000002</v>
      </c>
      <c r="I104" s="26">
        <f t="shared" si="22"/>
        <v>112.49854500000001</v>
      </c>
      <c r="J104" s="26">
        <f t="shared" si="23"/>
        <v>601.1172254500001</v>
      </c>
      <c r="K104" s="26">
        <f t="shared" si="8"/>
        <v>709.3183260310001</v>
      </c>
    </row>
    <row r="105" spans="1:11" ht="75">
      <c r="A105" s="25" t="s">
        <v>435</v>
      </c>
      <c r="B105" s="23"/>
      <c r="C105" s="22"/>
      <c r="D105" s="22"/>
      <c r="E105" s="22"/>
      <c r="F105" s="22"/>
      <c r="G105" s="26"/>
      <c r="H105" s="26"/>
      <c r="I105" s="26"/>
      <c r="J105" s="26"/>
      <c r="K105" s="26"/>
    </row>
    <row r="106" spans="1:11" ht="15">
      <c r="A106" s="25" t="s">
        <v>423</v>
      </c>
      <c r="B106" s="23" t="s">
        <v>436</v>
      </c>
      <c r="C106" s="22" t="s">
        <v>85</v>
      </c>
      <c r="D106" s="22">
        <v>3</v>
      </c>
      <c r="E106" s="22">
        <f>168/100</f>
        <v>1.68</v>
      </c>
      <c r="F106" s="22">
        <f>F102</f>
        <v>236.59</v>
      </c>
      <c r="G106" s="26">
        <f>F106*E106</f>
        <v>397.4712</v>
      </c>
      <c r="H106" s="26">
        <f>G106*30.3/100</f>
        <v>120.43377360000001</v>
      </c>
      <c r="I106" s="26">
        <f>G106*30/100</f>
        <v>119.24136</v>
      </c>
      <c r="J106" s="26">
        <f>G106+H106+I106</f>
        <v>637.1463336</v>
      </c>
      <c r="K106" s="26">
        <f t="shared" si="8"/>
        <v>751.832673648</v>
      </c>
    </row>
    <row r="107" spans="1:11" ht="15">
      <c r="A107" s="25" t="s">
        <v>346</v>
      </c>
      <c r="B107" s="23" t="s">
        <v>437</v>
      </c>
      <c r="C107" s="22" t="s">
        <v>85</v>
      </c>
      <c r="D107" s="22">
        <v>3</v>
      </c>
      <c r="E107" s="22">
        <f>155/100</f>
        <v>1.55</v>
      </c>
      <c r="F107" s="22">
        <f>F103</f>
        <v>236.59</v>
      </c>
      <c r="G107" s="26">
        <f>F107*E107</f>
        <v>366.71450000000004</v>
      </c>
      <c r="H107" s="26">
        <f>G107*30.3/100</f>
        <v>111.11449350000001</v>
      </c>
      <c r="I107" s="26">
        <f>G107*30/100</f>
        <v>110.01435000000001</v>
      </c>
      <c r="J107" s="26">
        <f>G107+H107+I107</f>
        <v>587.8433435000001</v>
      </c>
      <c r="K107" s="26">
        <f>J107*1.18</f>
        <v>693.65514533</v>
      </c>
    </row>
    <row r="108" spans="1:11" ht="15">
      <c r="A108" s="25" t="s">
        <v>424</v>
      </c>
      <c r="B108" s="23" t="s">
        <v>438</v>
      </c>
      <c r="C108" s="22" t="s">
        <v>85</v>
      </c>
      <c r="D108" s="22">
        <v>3</v>
      </c>
      <c r="E108" s="22">
        <f>155/100</f>
        <v>1.55</v>
      </c>
      <c r="F108" s="22">
        <f>F107</f>
        <v>236.59</v>
      </c>
      <c r="G108" s="26">
        <f>F108*E108</f>
        <v>366.71450000000004</v>
      </c>
      <c r="H108" s="26">
        <f>G108*30.3/100</f>
        <v>111.11449350000001</v>
      </c>
      <c r="I108" s="26">
        <f>G108*30/100</f>
        <v>110.01435000000001</v>
      </c>
      <c r="J108" s="26">
        <f>G108+H108+I108</f>
        <v>587.8433435000001</v>
      </c>
      <c r="K108" s="26">
        <f>J108*1.18</f>
        <v>693.65514533</v>
      </c>
    </row>
    <row r="109" spans="1:11" ht="14.25">
      <c r="A109" s="44" t="s">
        <v>439</v>
      </c>
      <c r="B109" s="72" t="s">
        <v>440</v>
      </c>
      <c r="C109" s="73"/>
      <c r="D109" s="73"/>
      <c r="E109" s="73"/>
      <c r="F109" s="73"/>
      <c r="G109" s="73"/>
      <c r="H109" s="73"/>
      <c r="I109" s="73"/>
      <c r="J109" s="73"/>
      <c r="K109" s="74"/>
    </row>
    <row r="110" spans="1:11" ht="20.25" customHeight="1">
      <c r="A110" s="25" t="s">
        <v>441</v>
      </c>
      <c r="B110" s="23" t="s">
        <v>438</v>
      </c>
      <c r="C110" s="22" t="s">
        <v>85</v>
      </c>
      <c r="D110" s="22">
        <v>3</v>
      </c>
      <c r="E110" s="22">
        <f>32.2/100</f>
        <v>0.322</v>
      </c>
      <c r="F110" s="22">
        <f>F108</f>
        <v>236.59</v>
      </c>
      <c r="G110" s="26">
        <f>F110*E110</f>
        <v>76.18198000000001</v>
      </c>
      <c r="H110" s="26">
        <f>G110*30.3/100</f>
        <v>23.083139940000006</v>
      </c>
      <c r="I110" s="26">
        <f>G110*30/100</f>
        <v>22.854594000000002</v>
      </c>
      <c r="J110" s="26">
        <f>G110+H110+I110</f>
        <v>122.11971394000003</v>
      </c>
      <c r="K110" s="26">
        <f>J110*1.18</f>
        <v>144.10126244920002</v>
      </c>
    </row>
    <row r="111" spans="1:11" ht="14.25">
      <c r="A111" s="44" t="s">
        <v>442</v>
      </c>
      <c r="B111" s="72" t="s">
        <v>444</v>
      </c>
      <c r="C111" s="73"/>
      <c r="D111" s="73"/>
      <c r="E111" s="73"/>
      <c r="F111" s="73"/>
      <c r="G111" s="73"/>
      <c r="H111" s="73"/>
      <c r="I111" s="73"/>
      <c r="J111" s="73"/>
      <c r="K111" s="74"/>
    </row>
    <row r="112" spans="1:11" ht="45" hidden="1">
      <c r="A112" s="25" t="s">
        <v>190</v>
      </c>
      <c r="B112" s="22" t="s">
        <v>38</v>
      </c>
      <c r="C112" s="22" t="s">
        <v>112</v>
      </c>
      <c r="D112" s="22">
        <v>4</v>
      </c>
      <c r="E112" s="22">
        <v>0.81</v>
      </c>
      <c r="F112" s="22">
        <f>F111</f>
        <v>0</v>
      </c>
      <c r="G112" s="26">
        <f>F112*E112</f>
        <v>0</v>
      </c>
      <c r="H112" s="26">
        <f>G112*30.3/100</f>
        <v>0</v>
      </c>
      <c r="I112" s="26">
        <f>G112*30/100</f>
        <v>0</v>
      </c>
      <c r="J112" s="26">
        <f>G112+H112+I112</f>
        <v>0</v>
      </c>
      <c r="K112" s="26">
        <f aca="true" t="shared" si="24" ref="K112:K207">J112*1.18</f>
        <v>0</v>
      </c>
    </row>
    <row r="113" spans="1:11" ht="15">
      <c r="A113" s="25" t="s">
        <v>346</v>
      </c>
      <c r="B113" s="22" t="s">
        <v>445</v>
      </c>
      <c r="C113" s="22" t="s">
        <v>112</v>
      </c>
      <c r="D113" s="22"/>
      <c r="E113" s="22">
        <f>28.7/100</f>
        <v>0.287</v>
      </c>
      <c r="F113" s="22">
        <f>F110</f>
        <v>236.59</v>
      </c>
      <c r="G113" s="26">
        <f>F113*E113</f>
        <v>67.90133</v>
      </c>
      <c r="H113" s="26">
        <f>G113*30.3/100</f>
        <v>20.57410299</v>
      </c>
      <c r="I113" s="26">
        <f>G113*30/100</f>
        <v>20.370399</v>
      </c>
      <c r="J113" s="26">
        <f>G113+H113+I113</f>
        <v>108.84583199</v>
      </c>
      <c r="K113" s="26">
        <f t="shared" si="24"/>
        <v>128.43808174819998</v>
      </c>
    </row>
    <row r="114" spans="1:11" ht="15">
      <c r="A114" s="25" t="s">
        <v>425</v>
      </c>
      <c r="B114" s="22" t="s">
        <v>446</v>
      </c>
      <c r="C114" s="22" t="s">
        <v>112</v>
      </c>
      <c r="D114" s="22"/>
      <c r="E114" s="22">
        <f>41.6/100</f>
        <v>0.41600000000000004</v>
      </c>
      <c r="F114" s="22">
        <f>F113</f>
        <v>236.59</v>
      </c>
      <c r="G114" s="26">
        <f>F114*E114</f>
        <v>98.42144</v>
      </c>
      <c r="H114" s="26">
        <f>G114*30.3/100</f>
        <v>29.82169632</v>
      </c>
      <c r="I114" s="26">
        <f>G114*30/100</f>
        <v>29.526432</v>
      </c>
      <c r="J114" s="26">
        <f>G114+H114+I114</f>
        <v>157.76956832000002</v>
      </c>
      <c r="K114" s="26">
        <f t="shared" si="24"/>
        <v>186.1680906176</v>
      </c>
    </row>
    <row r="115" spans="1:11" ht="15">
      <c r="A115" s="25" t="s">
        <v>324</v>
      </c>
      <c r="B115" s="22" t="s">
        <v>447</v>
      </c>
      <c r="C115" s="22" t="s">
        <v>112</v>
      </c>
      <c r="D115" s="22"/>
      <c r="E115" s="22">
        <f>71/100</f>
        <v>0.71</v>
      </c>
      <c r="F115" s="22">
        <f>F113</f>
        <v>236.59</v>
      </c>
      <c r="G115" s="26">
        <f>F115*E115</f>
        <v>167.97889999999998</v>
      </c>
      <c r="H115" s="26">
        <f>G115*30.3/100</f>
        <v>50.8976067</v>
      </c>
      <c r="I115" s="26">
        <f>G115*30/100</f>
        <v>50.39366999999999</v>
      </c>
      <c r="J115" s="26">
        <f>G115+H115+I115</f>
        <v>269.2701767</v>
      </c>
      <c r="K115" s="26">
        <f t="shared" si="24"/>
        <v>317.73880850599994</v>
      </c>
    </row>
    <row r="116" spans="1:11" ht="14.25">
      <c r="A116" s="44" t="s">
        <v>448</v>
      </c>
      <c r="B116" s="72" t="s">
        <v>449</v>
      </c>
      <c r="C116" s="73"/>
      <c r="D116" s="73"/>
      <c r="E116" s="73"/>
      <c r="F116" s="73"/>
      <c r="G116" s="73"/>
      <c r="H116" s="73"/>
      <c r="I116" s="73"/>
      <c r="J116" s="73"/>
      <c r="K116" s="74"/>
    </row>
    <row r="117" spans="1:11" ht="15">
      <c r="A117" s="25" t="s">
        <v>450</v>
      </c>
      <c r="B117" s="22" t="s">
        <v>455</v>
      </c>
      <c r="C117" s="22" t="s">
        <v>112</v>
      </c>
      <c r="D117" s="22"/>
      <c r="E117" s="22">
        <f>110/100</f>
        <v>1.1</v>
      </c>
      <c r="F117" s="22">
        <f>F114</f>
        <v>236.59</v>
      </c>
      <c r="G117" s="26">
        <f>F117*E117</f>
        <v>260.249</v>
      </c>
      <c r="H117" s="26">
        <f>G117*30.3/100</f>
        <v>78.85544700000001</v>
      </c>
      <c r="I117" s="26">
        <f>G117*30/100</f>
        <v>78.0747</v>
      </c>
      <c r="J117" s="26">
        <f>G117+H117+I117</f>
        <v>417.17914700000006</v>
      </c>
      <c r="K117" s="26">
        <f>J117*1.18</f>
        <v>492.27139346000007</v>
      </c>
    </row>
    <row r="118" spans="1:11" ht="15">
      <c r="A118" s="25" t="s">
        <v>451</v>
      </c>
      <c r="B118" s="22" t="s">
        <v>456</v>
      </c>
      <c r="C118" s="22" t="s">
        <v>112</v>
      </c>
      <c r="D118" s="22"/>
      <c r="E118" s="22">
        <f>158/100</f>
        <v>1.58</v>
      </c>
      <c r="F118" s="22">
        <f>F117</f>
        <v>236.59</v>
      </c>
      <c r="G118" s="26">
        <f>F118*E118</f>
        <v>373.8122</v>
      </c>
      <c r="H118" s="26">
        <f>G118*30.3/100</f>
        <v>113.26509660000002</v>
      </c>
      <c r="I118" s="26">
        <f>G118*30/100</f>
        <v>112.14366</v>
      </c>
      <c r="J118" s="26">
        <f>G118+H118+I118</f>
        <v>599.2209566</v>
      </c>
      <c r="K118" s="26">
        <f>J118*1.18</f>
        <v>707.080728788</v>
      </c>
    </row>
    <row r="119" spans="1:11" ht="15">
      <c r="A119" s="25" t="s">
        <v>452</v>
      </c>
      <c r="B119" s="22" t="s">
        <v>457</v>
      </c>
      <c r="C119" s="22" t="s">
        <v>112</v>
      </c>
      <c r="D119" s="22"/>
      <c r="E119" s="22">
        <f>234/100</f>
        <v>2.34</v>
      </c>
      <c r="F119" s="22">
        <f>F118</f>
        <v>236.59</v>
      </c>
      <c r="G119" s="26">
        <f>F119*E119</f>
        <v>553.6206</v>
      </c>
      <c r="H119" s="26">
        <f>G119*30.3/100</f>
        <v>167.7470418</v>
      </c>
      <c r="I119" s="26">
        <f>G119*30/100</f>
        <v>166.08617999999998</v>
      </c>
      <c r="J119" s="26">
        <f>G119+H119+I119</f>
        <v>887.4538218</v>
      </c>
      <c r="K119" s="26">
        <f>J119*1.18</f>
        <v>1047.195509724</v>
      </c>
    </row>
    <row r="120" spans="1:11" ht="15">
      <c r="A120" s="25" t="s">
        <v>453</v>
      </c>
      <c r="B120" s="22" t="s">
        <v>458</v>
      </c>
      <c r="C120" s="22" t="s">
        <v>112</v>
      </c>
      <c r="D120" s="22"/>
      <c r="E120" s="22">
        <f>87/100</f>
        <v>0.87</v>
      </c>
      <c r="F120" s="22">
        <f>F119</f>
        <v>236.59</v>
      </c>
      <c r="G120" s="26">
        <f>F120*E120</f>
        <v>205.8333</v>
      </c>
      <c r="H120" s="26">
        <f>G120*30.3/100</f>
        <v>62.3674899</v>
      </c>
      <c r="I120" s="26">
        <f>G120*30/100</f>
        <v>61.74999</v>
      </c>
      <c r="J120" s="26">
        <f>G120+H120+I120</f>
        <v>329.95077990000004</v>
      </c>
      <c r="K120" s="26">
        <f>J120*1.18</f>
        <v>389.34192028200005</v>
      </c>
    </row>
    <row r="121" spans="1:11" ht="15">
      <c r="A121" s="25" t="s">
        <v>454</v>
      </c>
      <c r="B121" s="22" t="s">
        <v>459</v>
      </c>
      <c r="C121" s="22" t="s">
        <v>112</v>
      </c>
      <c r="D121" s="22"/>
      <c r="E121" s="22">
        <f>18.3/100</f>
        <v>0.183</v>
      </c>
      <c r="F121" s="22">
        <f>F120</f>
        <v>236.59</v>
      </c>
      <c r="G121" s="26">
        <f>F121*E121</f>
        <v>43.29597</v>
      </c>
      <c r="H121" s="26">
        <f>G121*30.3/100</f>
        <v>13.118678909999998</v>
      </c>
      <c r="I121" s="26">
        <f>G121*30/100</f>
        <v>12.988790999999999</v>
      </c>
      <c r="J121" s="26">
        <f>G121+H121+I121</f>
        <v>69.40343991</v>
      </c>
      <c r="K121" s="26">
        <f>J121*1.18</f>
        <v>81.8960590938</v>
      </c>
    </row>
    <row r="122" spans="1:11" ht="14.25">
      <c r="A122" s="44" t="s">
        <v>460</v>
      </c>
      <c r="B122" s="72" t="s">
        <v>638</v>
      </c>
      <c r="C122" s="73"/>
      <c r="D122" s="73"/>
      <c r="E122" s="73"/>
      <c r="F122" s="73"/>
      <c r="G122" s="73"/>
      <c r="H122" s="73"/>
      <c r="I122" s="73"/>
      <c r="J122" s="73"/>
      <c r="K122" s="74"/>
    </row>
    <row r="123" spans="1:11" ht="60">
      <c r="A123" s="25" t="s">
        <v>461</v>
      </c>
      <c r="B123" s="22"/>
      <c r="C123" s="22"/>
      <c r="D123" s="22"/>
      <c r="E123" s="22"/>
      <c r="F123" s="22"/>
      <c r="G123" s="26"/>
      <c r="H123" s="26"/>
      <c r="I123" s="26"/>
      <c r="J123" s="26"/>
      <c r="K123" s="26"/>
    </row>
    <row r="124" spans="1:11" ht="15">
      <c r="A124" s="25" t="s">
        <v>450</v>
      </c>
      <c r="B124" s="22" t="s">
        <v>463</v>
      </c>
      <c r="C124" s="22" t="s">
        <v>112</v>
      </c>
      <c r="D124" s="22"/>
      <c r="E124" s="22">
        <f>295/100</f>
        <v>2.95</v>
      </c>
      <c r="F124" s="22">
        <f>F121</f>
        <v>236.59</v>
      </c>
      <c r="G124" s="26">
        <f>F124*E124</f>
        <v>697.9405</v>
      </c>
      <c r="H124" s="26">
        <f>G124*30.3/100</f>
        <v>211.4759715</v>
      </c>
      <c r="I124" s="26">
        <f>G124*30/100</f>
        <v>209.38215</v>
      </c>
      <c r="J124" s="26">
        <f>G124+H124+I124</f>
        <v>1118.7986215</v>
      </c>
      <c r="K124" s="26">
        <f>J124*1.18</f>
        <v>1320.18237337</v>
      </c>
    </row>
    <row r="125" spans="1:11" ht="15">
      <c r="A125" s="25" t="s">
        <v>451</v>
      </c>
      <c r="B125" s="22" t="s">
        <v>464</v>
      </c>
      <c r="C125" s="22" t="s">
        <v>112</v>
      </c>
      <c r="D125" s="22"/>
      <c r="E125" s="22">
        <f>433/100</f>
        <v>4.33</v>
      </c>
      <c r="F125" s="22">
        <f>F124</f>
        <v>236.59</v>
      </c>
      <c r="G125" s="26">
        <f>F125*E125</f>
        <v>1024.4347</v>
      </c>
      <c r="H125" s="26">
        <f>G125*30.3/100</f>
        <v>310.4037141</v>
      </c>
      <c r="I125" s="26">
        <f>G125*30/100</f>
        <v>307.33041000000003</v>
      </c>
      <c r="J125" s="26">
        <f>G125+H125+I125</f>
        <v>1642.1688241000002</v>
      </c>
      <c r="K125" s="26">
        <f>J125*1.18</f>
        <v>1937.759212438</v>
      </c>
    </row>
    <row r="126" spans="1:11" ht="15">
      <c r="A126" s="25" t="s">
        <v>452</v>
      </c>
      <c r="B126" s="22" t="s">
        <v>465</v>
      </c>
      <c r="C126" s="22" t="s">
        <v>112</v>
      </c>
      <c r="D126" s="22"/>
      <c r="E126" s="22">
        <f>592/100</f>
        <v>5.92</v>
      </c>
      <c r="F126" s="22">
        <f>F124</f>
        <v>236.59</v>
      </c>
      <c r="G126" s="26">
        <f>F126*E126</f>
        <v>1400.6128</v>
      </c>
      <c r="H126" s="26">
        <f>G126*30.3/100</f>
        <v>424.3856784</v>
      </c>
      <c r="I126" s="26">
        <f>G126*30/100</f>
        <v>420.18384000000003</v>
      </c>
      <c r="J126" s="26">
        <f>G126+H126+I126</f>
        <v>2245.1823184</v>
      </c>
      <c r="K126" s="26">
        <f>J126*1.18</f>
        <v>2649.315135712</v>
      </c>
    </row>
    <row r="127" spans="1:11" ht="30">
      <c r="A127" s="25" t="s">
        <v>462</v>
      </c>
      <c r="B127" s="22" t="s">
        <v>466</v>
      </c>
      <c r="C127" s="22" t="s">
        <v>112</v>
      </c>
      <c r="D127" s="22"/>
      <c r="E127" s="22">
        <f>74.2/100</f>
        <v>0.742</v>
      </c>
      <c r="F127" s="22">
        <f>F126</f>
        <v>236.59</v>
      </c>
      <c r="G127" s="26">
        <f>F127*E127</f>
        <v>175.54978</v>
      </c>
      <c r="H127" s="26">
        <f>G127*30.3/100</f>
        <v>53.191583339999994</v>
      </c>
      <c r="I127" s="26">
        <f>G127*30/100</f>
        <v>52.664934</v>
      </c>
      <c r="J127" s="26">
        <f>G127+H127+I127</f>
        <v>281.40629734</v>
      </c>
      <c r="K127" s="26">
        <f>J127*1.18</f>
        <v>332.0594308612</v>
      </c>
    </row>
    <row r="128" spans="1:11" ht="14.25">
      <c r="A128" s="44" t="s">
        <v>467</v>
      </c>
      <c r="B128" s="72" t="s">
        <v>472</v>
      </c>
      <c r="C128" s="73"/>
      <c r="D128" s="73"/>
      <c r="E128" s="73"/>
      <c r="F128" s="73"/>
      <c r="G128" s="73"/>
      <c r="H128" s="73"/>
      <c r="I128" s="73"/>
      <c r="J128" s="73"/>
      <c r="K128" s="74"/>
    </row>
    <row r="129" spans="1:11" ht="15">
      <c r="A129" s="25" t="s">
        <v>468</v>
      </c>
      <c r="B129" s="22" t="s">
        <v>470</v>
      </c>
      <c r="C129" s="22" t="s">
        <v>112</v>
      </c>
      <c r="D129" s="22"/>
      <c r="E129" s="22">
        <f>216/100</f>
        <v>2.16</v>
      </c>
      <c r="F129" s="22">
        <f>F127</f>
        <v>236.59</v>
      </c>
      <c r="G129" s="26">
        <f>F129*E129</f>
        <v>511.03440000000006</v>
      </c>
      <c r="H129" s="26">
        <f>G129*30.3/100</f>
        <v>154.84342320000002</v>
      </c>
      <c r="I129" s="26">
        <f>G129*30/100</f>
        <v>153.31032000000002</v>
      </c>
      <c r="J129" s="26">
        <f>G129+H129+I129</f>
        <v>819.1881432000001</v>
      </c>
      <c r="K129" s="26">
        <f>J129*1.18</f>
        <v>966.642008976</v>
      </c>
    </row>
    <row r="130" spans="1:11" ht="15">
      <c r="A130" s="25" t="s">
        <v>469</v>
      </c>
      <c r="B130" s="22" t="s">
        <v>471</v>
      </c>
      <c r="C130" s="22" t="s">
        <v>112</v>
      </c>
      <c r="D130" s="22"/>
      <c r="E130" s="22">
        <f>277/100</f>
        <v>2.77</v>
      </c>
      <c r="F130" s="22">
        <f>F129</f>
        <v>236.59</v>
      </c>
      <c r="G130" s="26">
        <f>F130*E130</f>
        <v>655.3543</v>
      </c>
      <c r="H130" s="26">
        <f>G130*30.3/100</f>
        <v>198.5723529</v>
      </c>
      <c r="I130" s="26">
        <f>G130*30/100</f>
        <v>196.60629</v>
      </c>
      <c r="J130" s="26">
        <f>G130+H130+I130</f>
        <v>1050.5329428999999</v>
      </c>
      <c r="K130" s="26">
        <f>J130*1.18</f>
        <v>1239.6288726219998</v>
      </c>
    </row>
    <row r="131" spans="1:11" ht="15">
      <c r="A131" s="25"/>
      <c r="B131" s="22"/>
      <c r="C131" s="22"/>
      <c r="D131" s="22"/>
      <c r="E131" s="22"/>
      <c r="F131" s="22"/>
      <c r="G131" s="26"/>
      <c r="H131" s="26"/>
      <c r="I131" s="26"/>
      <c r="J131" s="26"/>
      <c r="K131" s="26"/>
    </row>
    <row r="132" spans="1:11" ht="15">
      <c r="A132" s="25"/>
      <c r="B132" s="72" t="s">
        <v>473</v>
      </c>
      <c r="C132" s="73"/>
      <c r="D132" s="73"/>
      <c r="E132" s="73"/>
      <c r="F132" s="73"/>
      <c r="G132" s="73"/>
      <c r="H132" s="73"/>
      <c r="I132" s="73"/>
      <c r="J132" s="73"/>
      <c r="K132" s="74"/>
    </row>
    <row r="133" spans="1:11" ht="15">
      <c r="A133" s="25" t="s">
        <v>468</v>
      </c>
      <c r="B133" s="22" t="s">
        <v>474</v>
      </c>
      <c r="C133" s="22" t="s">
        <v>112</v>
      </c>
      <c r="D133" s="22"/>
      <c r="E133" s="22">
        <f>196/100</f>
        <v>1.96</v>
      </c>
      <c r="F133" s="22">
        <f>F129</f>
        <v>236.59</v>
      </c>
      <c r="G133" s="26">
        <f>F133*E133</f>
        <v>463.7164</v>
      </c>
      <c r="H133" s="26">
        <f>G133*30.3/100</f>
        <v>140.5060692</v>
      </c>
      <c r="I133" s="26">
        <f>G133*30/100</f>
        <v>139.11492</v>
      </c>
      <c r="J133" s="26">
        <f>G133+H133+I133</f>
        <v>743.3373892</v>
      </c>
      <c r="K133" s="26">
        <f>J133*1.18</f>
        <v>877.1381192559999</v>
      </c>
    </row>
    <row r="134" spans="1:11" ht="15">
      <c r="A134" s="25" t="s">
        <v>469</v>
      </c>
      <c r="B134" s="22" t="s">
        <v>475</v>
      </c>
      <c r="C134" s="22" t="s">
        <v>112</v>
      </c>
      <c r="D134" s="22"/>
      <c r="E134" s="22">
        <f>242/100</f>
        <v>2.42</v>
      </c>
      <c r="F134" s="22">
        <f>F133</f>
        <v>236.59</v>
      </c>
      <c r="G134" s="26">
        <f>F134*E134</f>
        <v>572.5477999999999</v>
      </c>
      <c r="H134" s="26">
        <f>G134*30.3/100</f>
        <v>173.4819834</v>
      </c>
      <c r="I134" s="26">
        <f>G134*30/100</f>
        <v>171.76433999999998</v>
      </c>
      <c r="J134" s="26">
        <f>G134+H134+I134</f>
        <v>917.7941233999999</v>
      </c>
      <c r="K134" s="26">
        <f>J134*1.18</f>
        <v>1082.9970656119997</v>
      </c>
    </row>
    <row r="135" spans="1:11" ht="14.25">
      <c r="A135" s="44" t="s">
        <v>477</v>
      </c>
      <c r="B135" s="72" t="s">
        <v>476</v>
      </c>
      <c r="C135" s="73"/>
      <c r="D135" s="73"/>
      <c r="E135" s="73"/>
      <c r="F135" s="73"/>
      <c r="G135" s="73"/>
      <c r="H135" s="73"/>
      <c r="I135" s="73"/>
      <c r="J135" s="73"/>
      <c r="K135" s="74"/>
    </row>
    <row r="136" spans="1:11" ht="45">
      <c r="A136" s="25" t="s">
        <v>478</v>
      </c>
      <c r="B136" s="22" t="s">
        <v>482</v>
      </c>
      <c r="C136" s="22" t="s">
        <v>112</v>
      </c>
      <c r="D136" s="22"/>
      <c r="E136" s="22">
        <f>23.7/100</f>
        <v>0.237</v>
      </c>
      <c r="F136" s="22">
        <f>F134</f>
        <v>236.59</v>
      </c>
      <c r="G136" s="26">
        <f>F136*E136</f>
        <v>56.07183</v>
      </c>
      <c r="H136" s="26">
        <f>G136*30.3/100</f>
        <v>16.98976449</v>
      </c>
      <c r="I136" s="26">
        <f>G136*30/100</f>
        <v>16.821549</v>
      </c>
      <c r="J136" s="26">
        <f>G136+H136+I136</f>
        <v>89.88314349000001</v>
      </c>
      <c r="K136" s="26">
        <f>J136*1.18</f>
        <v>106.0621093182</v>
      </c>
    </row>
    <row r="137" spans="1:11" ht="14.25">
      <c r="A137" s="44" t="s">
        <v>479</v>
      </c>
      <c r="B137" s="72" t="s">
        <v>480</v>
      </c>
      <c r="C137" s="73"/>
      <c r="D137" s="73"/>
      <c r="E137" s="73"/>
      <c r="F137" s="73"/>
      <c r="G137" s="73"/>
      <c r="H137" s="73"/>
      <c r="I137" s="73"/>
      <c r="J137" s="73"/>
      <c r="K137" s="74"/>
    </row>
    <row r="138" spans="1:11" ht="15">
      <c r="A138" s="25" t="s">
        <v>481</v>
      </c>
      <c r="B138" s="22" t="s">
        <v>483</v>
      </c>
      <c r="C138" s="22"/>
      <c r="D138" s="22"/>
      <c r="E138" s="22">
        <f>15.73/100</f>
        <v>0.1573</v>
      </c>
      <c r="F138" s="22">
        <f>F136</f>
        <v>236.59</v>
      </c>
      <c r="G138" s="26">
        <f>F138*E138</f>
        <v>37.215607</v>
      </c>
      <c r="H138" s="26">
        <f>G138*30.3/100</f>
        <v>11.276328921</v>
      </c>
      <c r="I138" s="26">
        <f>G138*30/100</f>
        <v>11.1646821</v>
      </c>
      <c r="J138" s="26">
        <f>G138+H138+I138</f>
        <v>59.656618021</v>
      </c>
      <c r="K138" s="26">
        <f>J138*1.18</f>
        <v>70.39480926478</v>
      </c>
    </row>
    <row r="139" spans="1:11" ht="14.25">
      <c r="A139" s="44" t="s">
        <v>484</v>
      </c>
      <c r="B139" s="72" t="s">
        <v>485</v>
      </c>
      <c r="C139" s="73"/>
      <c r="D139" s="73"/>
      <c r="E139" s="73"/>
      <c r="F139" s="73"/>
      <c r="G139" s="73"/>
      <c r="H139" s="73"/>
      <c r="I139" s="73"/>
      <c r="J139" s="73"/>
      <c r="K139" s="74"/>
    </row>
    <row r="140" spans="1:11" ht="15">
      <c r="A140" s="25" t="s">
        <v>486</v>
      </c>
      <c r="B140" s="22" t="s">
        <v>489</v>
      </c>
      <c r="C140" s="22" t="s">
        <v>112</v>
      </c>
      <c r="D140" s="22"/>
      <c r="E140" s="22">
        <f>23.4/100</f>
        <v>0.23399999999999999</v>
      </c>
      <c r="F140" s="22">
        <f>F138</f>
        <v>236.59</v>
      </c>
      <c r="G140" s="26">
        <f>F140*E140</f>
        <v>55.36206</v>
      </c>
      <c r="H140" s="26">
        <f>G140*30.3/100</f>
        <v>16.77470418</v>
      </c>
      <c r="I140" s="26">
        <f>G140*30/100</f>
        <v>16.608618</v>
      </c>
      <c r="J140" s="26">
        <f>G140+H140+I140</f>
        <v>88.74538218000001</v>
      </c>
      <c r="K140" s="26">
        <f>J140*1.18</f>
        <v>104.7195509724</v>
      </c>
    </row>
    <row r="141" spans="1:11" ht="15">
      <c r="A141" s="25" t="s">
        <v>487</v>
      </c>
      <c r="B141" s="22" t="s">
        <v>490</v>
      </c>
      <c r="C141" s="22" t="s">
        <v>112</v>
      </c>
      <c r="D141" s="22"/>
      <c r="E141" s="22">
        <f>41.8/100</f>
        <v>0.418</v>
      </c>
      <c r="F141" s="22">
        <f>F140</f>
        <v>236.59</v>
      </c>
      <c r="G141" s="26">
        <f>F141*E141</f>
        <v>98.89462</v>
      </c>
      <c r="H141" s="26">
        <f>G141*30.3/100</f>
        <v>29.965069860000003</v>
      </c>
      <c r="I141" s="26">
        <f>G141*30/100</f>
        <v>29.668386</v>
      </c>
      <c r="J141" s="26">
        <f>G141+H141+I141</f>
        <v>158.52807586</v>
      </c>
      <c r="K141" s="26">
        <f>J141*1.18</f>
        <v>187.06312951479998</v>
      </c>
    </row>
    <row r="142" spans="1:11" ht="15">
      <c r="A142" s="25" t="s">
        <v>488</v>
      </c>
      <c r="B142" s="22" t="s">
        <v>491</v>
      </c>
      <c r="C142" s="22" t="s">
        <v>112</v>
      </c>
      <c r="D142" s="22"/>
      <c r="E142" s="22">
        <f>100.8/100</f>
        <v>1.008</v>
      </c>
      <c r="F142" s="22">
        <f>F140</f>
        <v>236.59</v>
      </c>
      <c r="G142" s="26">
        <f>F142*E142</f>
        <v>238.48272</v>
      </c>
      <c r="H142" s="26">
        <f>G142*30.3/100</f>
        <v>72.26026416</v>
      </c>
      <c r="I142" s="26">
        <f>G142*30/100</f>
        <v>71.544816</v>
      </c>
      <c r="J142" s="26">
        <f>G142+H142+I142</f>
        <v>382.28780015999996</v>
      </c>
      <c r="K142" s="26">
        <f>J142*1.18</f>
        <v>451.09960418879996</v>
      </c>
    </row>
    <row r="143" spans="1:11" ht="15">
      <c r="A143" s="25"/>
      <c r="B143" s="75" t="s">
        <v>635</v>
      </c>
      <c r="C143" s="76"/>
      <c r="D143" s="76"/>
      <c r="E143" s="76"/>
      <c r="F143" s="76"/>
      <c r="G143" s="76"/>
      <c r="H143" s="76"/>
      <c r="I143" s="76"/>
      <c r="J143" s="76"/>
      <c r="K143" s="77"/>
    </row>
    <row r="144" spans="1:11" ht="50.25" customHeight="1" hidden="1">
      <c r="A144" s="25"/>
      <c r="B144" s="23" t="s">
        <v>492</v>
      </c>
      <c r="C144" s="22" t="s">
        <v>222</v>
      </c>
      <c r="D144" s="22">
        <v>4</v>
      </c>
      <c r="E144" s="22">
        <v>0.32</v>
      </c>
      <c r="F144" s="22">
        <f>F98</f>
        <v>236.59</v>
      </c>
      <c r="G144" s="26">
        <f>F144*E144</f>
        <v>75.7088</v>
      </c>
      <c r="H144" s="26">
        <f aca="true" t="shared" si="25" ref="H144:H163">G144*30.3/100</f>
        <v>22.9397664</v>
      </c>
      <c r="I144" s="26">
        <f>G144*30/100</f>
        <v>22.71264</v>
      </c>
      <c r="J144" s="26">
        <f>G144+H144+I144</f>
        <v>121.36120639999999</v>
      </c>
      <c r="K144" s="26">
        <f t="shared" si="24"/>
        <v>143.20622355199998</v>
      </c>
    </row>
    <row r="145" spans="1:11" ht="50.25" customHeight="1">
      <c r="A145" s="25" t="s">
        <v>249</v>
      </c>
      <c r="B145" s="23" t="s">
        <v>492</v>
      </c>
      <c r="C145" s="22" t="s">
        <v>222</v>
      </c>
      <c r="D145" s="22">
        <v>4</v>
      </c>
      <c r="E145" s="22">
        <v>0.49</v>
      </c>
      <c r="F145" s="22">
        <f>F144</f>
        <v>236.59</v>
      </c>
      <c r="G145" s="26">
        <f>F145*E145</f>
        <v>115.9291</v>
      </c>
      <c r="H145" s="26">
        <f t="shared" si="25"/>
        <v>35.1265173</v>
      </c>
      <c r="I145" s="26">
        <f>G145*30/100</f>
        <v>34.77873</v>
      </c>
      <c r="J145" s="26">
        <f>G145+H145+I145</f>
        <v>185.8343473</v>
      </c>
      <c r="K145" s="26">
        <f t="shared" si="24"/>
        <v>219.28452981399997</v>
      </c>
    </row>
    <row r="146" spans="1:11" ht="50.25" customHeight="1">
      <c r="A146" s="25" t="s">
        <v>215</v>
      </c>
      <c r="B146" s="23" t="s">
        <v>492</v>
      </c>
      <c r="C146" s="22" t="s">
        <v>112</v>
      </c>
      <c r="D146" s="22">
        <v>4</v>
      </c>
      <c r="E146" s="22">
        <v>0.52</v>
      </c>
      <c r="F146" s="22">
        <f>F144</f>
        <v>236.59</v>
      </c>
      <c r="G146" s="26">
        <f aca="true" t="shared" si="26" ref="G146:G163">F146*E146</f>
        <v>123.02680000000001</v>
      </c>
      <c r="H146" s="26">
        <f t="shared" si="25"/>
        <v>37.2771204</v>
      </c>
      <c r="I146" s="26">
        <f aca="true" t="shared" si="27" ref="I146:I163">G146*30/100</f>
        <v>36.90804</v>
      </c>
      <c r="J146" s="26">
        <f aca="true" t="shared" si="28" ref="J146:J163">G146+H146+I146</f>
        <v>197.2119604</v>
      </c>
      <c r="K146" s="26">
        <f t="shared" si="24"/>
        <v>232.710113272</v>
      </c>
    </row>
    <row r="147" spans="1:11" ht="30">
      <c r="A147" s="25" t="s">
        <v>216</v>
      </c>
      <c r="B147" s="23" t="s">
        <v>492</v>
      </c>
      <c r="C147" s="22" t="s">
        <v>112</v>
      </c>
      <c r="D147" s="22">
        <v>4</v>
      </c>
      <c r="E147" s="22">
        <v>0.33</v>
      </c>
      <c r="F147" s="22">
        <f aca="true" t="shared" si="29" ref="F147:F163">F146</f>
        <v>236.59</v>
      </c>
      <c r="G147" s="26">
        <f t="shared" si="26"/>
        <v>78.0747</v>
      </c>
      <c r="H147" s="26">
        <f t="shared" si="25"/>
        <v>23.6566341</v>
      </c>
      <c r="I147" s="26">
        <f t="shared" si="27"/>
        <v>23.42241</v>
      </c>
      <c r="J147" s="26">
        <f t="shared" si="28"/>
        <v>125.15374410000001</v>
      </c>
      <c r="K147" s="26">
        <f t="shared" si="24"/>
        <v>147.681418038</v>
      </c>
    </row>
    <row r="148" spans="1:11" ht="30">
      <c r="A148" s="25" t="s">
        <v>217</v>
      </c>
      <c r="B148" s="23" t="s">
        <v>492</v>
      </c>
      <c r="C148" s="22" t="s">
        <v>112</v>
      </c>
      <c r="D148" s="22">
        <v>4</v>
      </c>
      <c r="E148" s="22">
        <v>1.4</v>
      </c>
      <c r="F148" s="22">
        <f t="shared" si="29"/>
        <v>236.59</v>
      </c>
      <c r="G148" s="26">
        <f t="shared" si="26"/>
        <v>331.226</v>
      </c>
      <c r="H148" s="26">
        <f t="shared" si="25"/>
        <v>100.361478</v>
      </c>
      <c r="I148" s="26">
        <f t="shared" si="27"/>
        <v>99.3678</v>
      </c>
      <c r="J148" s="26">
        <f t="shared" si="28"/>
        <v>530.955278</v>
      </c>
      <c r="K148" s="26">
        <f t="shared" si="24"/>
        <v>626.52722804</v>
      </c>
    </row>
    <row r="149" spans="1:11" ht="45">
      <c r="A149" s="25" t="s">
        <v>250</v>
      </c>
      <c r="B149" s="23" t="s">
        <v>492</v>
      </c>
      <c r="C149" s="22" t="s">
        <v>112</v>
      </c>
      <c r="D149" s="22">
        <v>4</v>
      </c>
      <c r="E149" s="22">
        <v>0.25</v>
      </c>
      <c r="F149" s="22">
        <f t="shared" si="29"/>
        <v>236.59</v>
      </c>
      <c r="G149" s="26">
        <f>F149*E149</f>
        <v>59.1475</v>
      </c>
      <c r="H149" s="26">
        <f t="shared" si="25"/>
        <v>17.921692500000002</v>
      </c>
      <c r="I149" s="26">
        <f>G149*30/100</f>
        <v>17.74425</v>
      </c>
      <c r="J149" s="26">
        <f>G149+H149+I149</f>
        <v>94.81344250000001</v>
      </c>
      <c r="K149" s="26">
        <f t="shared" si="24"/>
        <v>111.87986215000001</v>
      </c>
    </row>
    <row r="150" spans="1:11" ht="30" hidden="1">
      <c r="A150" s="25" t="s">
        <v>218</v>
      </c>
      <c r="B150" s="23" t="s">
        <v>492</v>
      </c>
      <c r="C150" s="22" t="s">
        <v>112</v>
      </c>
      <c r="D150" s="22">
        <v>4</v>
      </c>
      <c r="E150" s="22">
        <v>2.35</v>
      </c>
      <c r="F150" s="22">
        <f>F148</f>
        <v>236.59</v>
      </c>
      <c r="G150" s="26">
        <f t="shared" si="26"/>
        <v>555.9865</v>
      </c>
      <c r="H150" s="26">
        <f t="shared" si="25"/>
        <v>168.4639095</v>
      </c>
      <c r="I150" s="26">
        <f t="shared" si="27"/>
        <v>166.79595</v>
      </c>
      <c r="J150" s="26">
        <f t="shared" si="28"/>
        <v>891.2463594999999</v>
      </c>
      <c r="K150" s="26">
        <f t="shared" si="24"/>
        <v>1051.67070421</v>
      </c>
    </row>
    <row r="151" spans="1:11" ht="30">
      <c r="A151" s="25" t="s">
        <v>251</v>
      </c>
      <c r="B151" s="23" t="s">
        <v>492</v>
      </c>
      <c r="C151" s="22" t="s">
        <v>112</v>
      </c>
      <c r="D151" s="22">
        <v>4</v>
      </c>
      <c r="E151" s="22">
        <v>2.35</v>
      </c>
      <c r="F151" s="22">
        <f>F149</f>
        <v>236.59</v>
      </c>
      <c r="G151" s="26">
        <f>F151*E151</f>
        <v>555.9865</v>
      </c>
      <c r="H151" s="26">
        <f t="shared" si="25"/>
        <v>168.4639095</v>
      </c>
      <c r="I151" s="26">
        <f>G151*30/100</f>
        <v>166.79595</v>
      </c>
      <c r="J151" s="26">
        <f>G151+H151+I151</f>
        <v>891.2463594999999</v>
      </c>
      <c r="K151" s="26">
        <f t="shared" si="24"/>
        <v>1051.67070421</v>
      </c>
    </row>
    <row r="152" spans="1:11" ht="30">
      <c r="A152" s="25" t="s">
        <v>288</v>
      </c>
      <c r="B152" s="23" t="s">
        <v>492</v>
      </c>
      <c r="C152" s="22" t="s">
        <v>112</v>
      </c>
      <c r="D152" s="22">
        <v>4</v>
      </c>
      <c r="E152" s="22">
        <v>2.35</v>
      </c>
      <c r="F152" s="22">
        <f>F150</f>
        <v>236.59</v>
      </c>
      <c r="G152" s="26">
        <f>F152*E152</f>
        <v>555.9865</v>
      </c>
      <c r="H152" s="26">
        <f t="shared" si="25"/>
        <v>168.4639095</v>
      </c>
      <c r="I152" s="26">
        <f>G152*30/100</f>
        <v>166.79595</v>
      </c>
      <c r="J152" s="26">
        <f>G152+H152+I152</f>
        <v>891.2463594999999</v>
      </c>
      <c r="K152" s="26">
        <f t="shared" si="24"/>
        <v>1051.67070421</v>
      </c>
    </row>
    <row r="153" spans="1:11" ht="30">
      <c r="A153" s="25" t="s">
        <v>219</v>
      </c>
      <c r="B153" s="23" t="s">
        <v>492</v>
      </c>
      <c r="C153" s="22" t="s">
        <v>112</v>
      </c>
      <c r="D153" s="22">
        <v>4</v>
      </c>
      <c r="E153" s="22">
        <v>1.4</v>
      </c>
      <c r="F153" s="22">
        <f t="shared" si="29"/>
        <v>236.59</v>
      </c>
      <c r="G153" s="26">
        <f t="shared" si="26"/>
        <v>331.226</v>
      </c>
      <c r="H153" s="26">
        <f t="shared" si="25"/>
        <v>100.361478</v>
      </c>
      <c r="I153" s="26">
        <f t="shared" si="27"/>
        <v>99.3678</v>
      </c>
      <c r="J153" s="26">
        <f t="shared" si="28"/>
        <v>530.955278</v>
      </c>
      <c r="K153" s="26">
        <f t="shared" si="24"/>
        <v>626.52722804</v>
      </c>
    </row>
    <row r="154" spans="1:11" ht="30">
      <c r="A154" s="25" t="s">
        <v>220</v>
      </c>
      <c r="B154" s="23" t="s">
        <v>492</v>
      </c>
      <c r="C154" s="22" t="s">
        <v>112</v>
      </c>
      <c r="D154" s="22">
        <v>4</v>
      </c>
      <c r="E154" s="22">
        <v>1.2</v>
      </c>
      <c r="F154" s="22">
        <f t="shared" si="29"/>
        <v>236.59</v>
      </c>
      <c r="G154" s="26">
        <f t="shared" si="26"/>
        <v>283.908</v>
      </c>
      <c r="H154" s="26">
        <f t="shared" si="25"/>
        <v>86.02412400000001</v>
      </c>
      <c r="I154" s="26">
        <f t="shared" si="27"/>
        <v>85.1724</v>
      </c>
      <c r="J154" s="26">
        <f t="shared" si="28"/>
        <v>455.104524</v>
      </c>
      <c r="K154" s="26">
        <f t="shared" si="24"/>
        <v>537.02333832</v>
      </c>
    </row>
    <row r="155" spans="1:11" ht="60">
      <c r="A155" s="25" t="s">
        <v>267</v>
      </c>
      <c r="B155" s="23" t="s">
        <v>492</v>
      </c>
      <c r="C155" s="22" t="s">
        <v>112</v>
      </c>
      <c r="D155" s="22">
        <v>4</v>
      </c>
      <c r="E155" s="22">
        <v>2.35</v>
      </c>
      <c r="F155" s="22">
        <f t="shared" si="29"/>
        <v>236.59</v>
      </c>
      <c r="G155" s="26">
        <f t="shared" si="26"/>
        <v>555.9865</v>
      </c>
      <c r="H155" s="26">
        <f t="shared" si="25"/>
        <v>168.4639095</v>
      </c>
      <c r="I155" s="26">
        <f t="shared" si="27"/>
        <v>166.79595</v>
      </c>
      <c r="J155" s="26">
        <f t="shared" si="28"/>
        <v>891.2463594999999</v>
      </c>
      <c r="K155" s="26">
        <f t="shared" si="24"/>
        <v>1051.67070421</v>
      </c>
    </row>
    <row r="156" spans="1:11" ht="30" hidden="1">
      <c r="A156" s="25" t="s">
        <v>262</v>
      </c>
      <c r="B156" s="23"/>
      <c r="C156" s="22" t="s">
        <v>112</v>
      </c>
      <c r="D156" s="22">
        <v>4</v>
      </c>
      <c r="E156" s="22">
        <v>1.45</v>
      </c>
      <c r="F156" s="22">
        <f t="shared" si="29"/>
        <v>236.59</v>
      </c>
      <c r="G156" s="26">
        <f t="shared" si="26"/>
        <v>343.0555</v>
      </c>
      <c r="H156" s="26">
        <f t="shared" si="25"/>
        <v>103.9458165</v>
      </c>
      <c r="I156" s="26">
        <f t="shared" si="27"/>
        <v>102.91664999999999</v>
      </c>
      <c r="J156" s="26">
        <f t="shared" si="28"/>
        <v>549.9179665</v>
      </c>
      <c r="K156" s="26">
        <f t="shared" si="24"/>
        <v>648.90320047</v>
      </c>
    </row>
    <row r="157" spans="1:11" ht="30" hidden="1">
      <c r="A157" s="25" t="s">
        <v>263</v>
      </c>
      <c r="B157" s="23"/>
      <c r="C157" s="22" t="s">
        <v>112</v>
      </c>
      <c r="D157" s="22">
        <v>4</v>
      </c>
      <c r="E157" s="22">
        <v>2.15</v>
      </c>
      <c r="F157" s="22">
        <f t="shared" si="29"/>
        <v>236.59</v>
      </c>
      <c r="G157" s="26">
        <f t="shared" si="26"/>
        <v>508.6685</v>
      </c>
      <c r="H157" s="26">
        <f t="shared" si="25"/>
        <v>154.1265555</v>
      </c>
      <c r="I157" s="26">
        <f t="shared" si="27"/>
        <v>152.60055</v>
      </c>
      <c r="J157" s="26">
        <f t="shared" si="28"/>
        <v>815.3956055</v>
      </c>
      <c r="K157" s="26">
        <f t="shared" si="24"/>
        <v>962.16681449</v>
      </c>
    </row>
    <row r="158" spans="1:11" ht="45" hidden="1">
      <c r="A158" s="25" t="s">
        <v>264</v>
      </c>
      <c r="B158" s="23"/>
      <c r="C158" s="22" t="s">
        <v>112</v>
      </c>
      <c r="D158" s="22">
        <v>4</v>
      </c>
      <c r="E158" s="22">
        <v>2.5</v>
      </c>
      <c r="F158" s="22">
        <f t="shared" si="29"/>
        <v>236.59</v>
      </c>
      <c r="G158" s="26">
        <f t="shared" si="26"/>
        <v>591.475</v>
      </c>
      <c r="H158" s="26">
        <f t="shared" si="25"/>
        <v>179.216925</v>
      </c>
      <c r="I158" s="26">
        <f t="shared" si="27"/>
        <v>177.4425</v>
      </c>
      <c r="J158" s="26">
        <f t="shared" si="28"/>
        <v>948.1344250000001</v>
      </c>
      <c r="K158" s="26">
        <f t="shared" si="24"/>
        <v>1118.7986215</v>
      </c>
    </row>
    <row r="159" spans="1:11" ht="90" hidden="1">
      <c r="A159" s="25" t="s">
        <v>265</v>
      </c>
      <c r="B159" s="23"/>
      <c r="C159" s="22" t="s">
        <v>112</v>
      </c>
      <c r="D159" s="22">
        <v>4</v>
      </c>
      <c r="E159" s="22">
        <v>2.9</v>
      </c>
      <c r="F159" s="22">
        <f t="shared" si="29"/>
        <v>236.59</v>
      </c>
      <c r="G159" s="26">
        <f t="shared" si="26"/>
        <v>686.111</v>
      </c>
      <c r="H159" s="26">
        <f t="shared" si="25"/>
        <v>207.891633</v>
      </c>
      <c r="I159" s="26">
        <f t="shared" si="27"/>
        <v>205.83329999999998</v>
      </c>
      <c r="J159" s="26">
        <f t="shared" si="28"/>
        <v>1099.835933</v>
      </c>
      <c r="K159" s="26">
        <f t="shared" si="24"/>
        <v>1297.80640094</v>
      </c>
    </row>
    <row r="160" spans="1:11" ht="45" hidden="1">
      <c r="A160" s="25" t="s">
        <v>493</v>
      </c>
      <c r="B160" s="23"/>
      <c r="C160" s="22" t="s">
        <v>112</v>
      </c>
      <c r="D160" s="22">
        <v>4</v>
      </c>
      <c r="E160" s="22">
        <v>0.75</v>
      </c>
      <c r="F160" s="22">
        <f>F155</f>
        <v>236.59</v>
      </c>
      <c r="G160" s="26">
        <f t="shared" si="26"/>
        <v>177.4425</v>
      </c>
      <c r="H160" s="26">
        <f t="shared" si="25"/>
        <v>53.7650775</v>
      </c>
      <c r="I160" s="26">
        <f t="shared" si="27"/>
        <v>53.232749999999996</v>
      </c>
      <c r="J160" s="26">
        <f t="shared" si="28"/>
        <v>284.44032749999997</v>
      </c>
      <c r="K160" s="26">
        <f t="shared" si="24"/>
        <v>335.63958644999997</v>
      </c>
    </row>
    <row r="161" spans="1:11" ht="45" hidden="1">
      <c r="A161" s="25" t="s">
        <v>258</v>
      </c>
      <c r="B161" s="23"/>
      <c r="C161" s="22" t="s">
        <v>112</v>
      </c>
      <c r="D161" s="22">
        <v>4</v>
      </c>
      <c r="E161" s="22">
        <v>1</v>
      </c>
      <c r="F161" s="22">
        <f t="shared" si="29"/>
        <v>236.59</v>
      </c>
      <c r="G161" s="26">
        <f t="shared" si="26"/>
        <v>236.59</v>
      </c>
      <c r="H161" s="26">
        <f t="shared" si="25"/>
        <v>71.68677000000001</v>
      </c>
      <c r="I161" s="26">
        <f t="shared" si="27"/>
        <v>70.977</v>
      </c>
      <c r="J161" s="26">
        <f t="shared" si="28"/>
        <v>379.25377000000003</v>
      </c>
      <c r="K161" s="26">
        <f t="shared" si="24"/>
        <v>447.51944860000003</v>
      </c>
    </row>
    <row r="162" spans="1:11" ht="60" hidden="1">
      <c r="A162" s="25" t="s">
        <v>259</v>
      </c>
      <c r="B162" s="23"/>
      <c r="C162" s="22" t="s">
        <v>112</v>
      </c>
      <c r="D162" s="22">
        <v>4</v>
      </c>
      <c r="E162" s="22">
        <v>1.5</v>
      </c>
      <c r="F162" s="22">
        <f t="shared" si="29"/>
        <v>236.59</v>
      </c>
      <c r="G162" s="26">
        <f t="shared" si="26"/>
        <v>354.885</v>
      </c>
      <c r="H162" s="26">
        <f t="shared" si="25"/>
        <v>107.530155</v>
      </c>
      <c r="I162" s="26">
        <f t="shared" si="27"/>
        <v>106.46549999999999</v>
      </c>
      <c r="J162" s="26">
        <f t="shared" si="28"/>
        <v>568.8806549999999</v>
      </c>
      <c r="K162" s="26">
        <f t="shared" si="24"/>
        <v>671.2791728999999</v>
      </c>
    </row>
    <row r="163" spans="1:11" s="19" customFormat="1" ht="45" hidden="1">
      <c r="A163" s="28" t="s">
        <v>269</v>
      </c>
      <c r="B163" s="23"/>
      <c r="C163" s="30" t="s">
        <v>112</v>
      </c>
      <c r="D163" s="30">
        <v>4</v>
      </c>
      <c r="E163" s="30">
        <v>0.3</v>
      </c>
      <c r="F163" s="30">
        <f t="shared" si="29"/>
        <v>236.59</v>
      </c>
      <c r="G163" s="31">
        <f t="shared" si="26"/>
        <v>70.977</v>
      </c>
      <c r="H163" s="31">
        <f t="shared" si="25"/>
        <v>21.506031000000004</v>
      </c>
      <c r="I163" s="31">
        <f t="shared" si="27"/>
        <v>21.2931</v>
      </c>
      <c r="J163" s="31">
        <f t="shared" si="28"/>
        <v>113.776131</v>
      </c>
      <c r="K163" s="26">
        <f t="shared" si="24"/>
        <v>134.25583458</v>
      </c>
    </row>
    <row r="164" spans="1:11" ht="15">
      <c r="A164" s="79" t="s">
        <v>71</v>
      </c>
      <c r="B164" s="80"/>
      <c r="C164" s="80"/>
      <c r="D164" s="80"/>
      <c r="E164" s="80"/>
      <c r="F164" s="80"/>
      <c r="G164" s="80"/>
      <c r="H164" s="80"/>
      <c r="I164" s="80"/>
      <c r="J164" s="81"/>
      <c r="K164" s="26"/>
    </row>
    <row r="165" spans="1:11" ht="15">
      <c r="A165" s="25" t="s">
        <v>72</v>
      </c>
      <c r="B165" s="23"/>
      <c r="C165" s="22" t="s">
        <v>274</v>
      </c>
      <c r="D165" s="24">
        <v>4</v>
      </c>
      <c r="E165" s="24">
        <v>1</v>
      </c>
      <c r="F165" s="22">
        <v>236.59</v>
      </c>
      <c r="G165" s="34">
        <f>F165*E165</f>
        <v>236.59</v>
      </c>
      <c r="H165" s="34">
        <f>G165*30.3/100</f>
        <v>71.68677000000001</v>
      </c>
      <c r="I165" s="34">
        <f>G165*30/100</f>
        <v>70.977</v>
      </c>
      <c r="J165" s="34">
        <f>G165+H165+I165</f>
        <v>379.25377000000003</v>
      </c>
      <c r="K165" s="26">
        <f t="shared" si="24"/>
        <v>447.51944860000003</v>
      </c>
    </row>
    <row r="166" spans="1:11" ht="15">
      <c r="A166" s="25" t="s">
        <v>73</v>
      </c>
      <c r="B166" s="33"/>
      <c r="C166" s="22" t="s">
        <v>274</v>
      </c>
      <c r="D166" s="24">
        <v>4</v>
      </c>
      <c r="E166" s="24">
        <v>1</v>
      </c>
      <c r="F166" s="24">
        <v>265.49</v>
      </c>
      <c r="G166" s="24">
        <f>F166*E166</f>
        <v>265.49</v>
      </c>
      <c r="H166" s="34">
        <f>G166*30.3/100</f>
        <v>80.44347</v>
      </c>
      <c r="I166" s="34">
        <f>G166*30/100</f>
        <v>79.647</v>
      </c>
      <c r="J166" s="34">
        <f>G166+H166+I166</f>
        <v>425.58047</v>
      </c>
      <c r="K166" s="26">
        <f t="shared" si="24"/>
        <v>502.18495459999997</v>
      </c>
    </row>
    <row r="167" spans="1:11" ht="15">
      <c r="A167" s="79" t="s">
        <v>74</v>
      </c>
      <c r="B167" s="80"/>
      <c r="C167" s="80"/>
      <c r="D167" s="80"/>
      <c r="E167" s="80"/>
      <c r="F167" s="80"/>
      <c r="G167" s="80"/>
      <c r="H167" s="80"/>
      <c r="I167" s="80"/>
      <c r="J167" s="81"/>
      <c r="K167" s="26"/>
    </row>
    <row r="168" spans="1:11" ht="15">
      <c r="A168" s="25" t="s">
        <v>72</v>
      </c>
      <c r="B168" s="23"/>
      <c r="C168" s="22" t="s">
        <v>274</v>
      </c>
      <c r="D168" s="24">
        <v>4</v>
      </c>
      <c r="E168" s="22">
        <v>1</v>
      </c>
      <c r="F168" s="22">
        <v>236.59</v>
      </c>
      <c r="G168" s="26">
        <f>F168*E168</f>
        <v>236.59</v>
      </c>
      <c r="H168" s="26">
        <f>G168*30.3/100</f>
        <v>71.68677000000001</v>
      </c>
      <c r="I168" s="26">
        <f>G168*30/100</f>
        <v>70.977</v>
      </c>
      <c r="J168" s="26">
        <f>G168+H168+I168</f>
        <v>379.25377000000003</v>
      </c>
      <c r="K168" s="26">
        <f t="shared" si="24"/>
        <v>447.51944860000003</v>
      </c>
    </row>
    <row r="169" spans="1:11" ht="15">
      <c r="A169" s="25" t="s">
        <v>75</v>
      </c>
      <c r="B169" s="33"/>
      <c r="C169" s="22" t="s">
        <v>274</v>
      </c>
      <c r="D169" s="24">
        <v>4</v>
      </c>
      <c r="E169" s="22">
        <v>1</v>
      </c>
      <c r="F169" s="22">
        <v>234.02</v>
      </c>
      <c r="G169" s="22">
        <f>F169*E169</f>
        <v>234.02</v>
      </c>
      <c r="H169" s="26">
        <f>G169*30.3/100</f>
        <v>70.90806</v>
      </c>
      <c r="I169" s="26">
        <f>G169*30/100</f>
        <v>70.206</v>
      </c>
      <c r="J169" s="26">
        <f>G169+H169+I169</f>
        <v>375.13406000000003</v>
      </c>
      <c r="K169" s="26">
        <f t="shared" si="24"/>
        <v>442.6581908</v>
      </c>
    </row>
    <row r="170" spans="1:11" ht="15" hidden="1">
      <c r="A170" s="59" t="s">
        <v>76</v>
      </c>
      <c r="B170" s="60"/>
      <c r="C170" s="60"/>
      <c r="D170" s="60"/>
      <c r="E170" s="60"/>
      <c r="F170" s="60"/>
      <c r="G170" s="60"/>
      <c r="H170" s="60"/>
      <c r="I170" s="60"/>
      <c r="J170" s="61"/>
      <c r="K170" s="26"/>
    </row>
    <row r="171" spans="1:11" ht="30" hidden="1">
      <c r="A171" s="25" t="s">
        <v>292</v>
      </c>
      <c r="B171" s="33" t="s">
        <v>78</v>
      </c>
      <c r="C171" s="24" t="s">
        <v>79</v>
      </c>
      <c r="D171" s="24">
        <v>2.5</v>
      </c>
      <c r="E171" s="24">
        <v>0.45</v>
      </c>
      <c r="F171" s="22">
        <v>236.59</v>
      </c>
      <c r="G171" s="26">
        <f>F171*E171</f>
        <v>106.4655</v>
      </c>
      <c r="H171" s="26">
        <f>G171*30.3/100</f>
        <v>32.259046500000004</v>
      </c>
      <c r="I171" s="26">
        <f>G171*30/100</f>
        <v>31.93965</v>
      </c>
      <c r="J171" s="26">
        <f>G171+H171+I171</f>
        <v>170.6641965</v>
      </c>
      <c r="K171" s="26">
        <f t="shared" si="24"/>
        <v>201.38375187</v>
      </c>
    </row>
    <row r="172" spans="1:11" ht="30" hidden="1">
      <c r="A172" s="25" t="s">
        <v>293</v>
      </c>
      <c r="B172" s="33" t="s">
        <v>78</v>
      </c>
      <c r="C172" s="24" t="s">
        <v>79</v>
      </c>
      <c r="D172" s="24">
        <v>2.5</v>
      </c>
      <c r="E172" s="24">
        <v>0.45</v>
      </c>
      <c r="F172" s="22">
        <v>236.59</v>
      </c>
      <c r="G172" s="26">
        <f>F172*E172</f>
        <v>106.4655</v>
      </c>
      <c r="H172" s="26">
        <f>G172*30.3/100</f>
        <v>32.259046500000004</v>
      </c>
      <c r="I172" s="26">
        <f>G172*30/100</f>
        <v>31.93965</v>
      </c>
      <c r="J172" s="26">
        <f>G172+H172+I172</f>
        <v>170.6641965</v>
      </c>
      <c r="K172" s="26">
        <f t="shared" si="24"/>
        <v>201.38375187</v>
      </c>
    </row>
    <row r="173" spans="1:11" ht="15">
      <c r="A173" s="82" t="s">
        <v>494</v>
      </c>
      <c r="B173" s="83"/>
      <c r="C173" s="83"/>
      <c r="D173" s="83"/>
      <c r="E173" s="83"/>
      <c r="F173" s="83"/>
      <c r="G173" s="83"/>
      <c r="H173" s="83"/>
      <c r="I173" s="83"/>
      <c r="J173" s="84"/>
      <c r="K173" s="26"/>
    </row>
    <row r="174" spans="1:11" ht="45">
      <c r="A174" s="43" t="s">
        <v>205</v>
      </c>
      <c r="B174" s="35"/>
      <c r="C174" s="29" t="s">
        <v>112</v>
      </c>
      <c r="D174" s="36">
        <v>3.8</v>
      </c>
      <c r="E174" s="30">
        <v>2.8</v>
      </c>
      <c r="F174" s="30">
        <v>250.91</v>
      </c>
      <c r="G174" s="31">
        <f aca="true" t="shared" si="30" ref="G174:G180">F174*E174</f>
        <v>702.548</v>
      </c>
      <c r="H174" s="31">
        <f aca="true" t="shared" si="31" ref="H174:H180">G174*30.3/100</f>
        <v>212.87204400000002</v>
      </c>
      <c r="I174" s="31">
        <v>288.63</v>
      </c>
      <c r="J174" s="31">
        <f aca="true" t="shared" si="32" ref="J174:J180">G174+H174+I174</f>
        <v>1204.050044</v>
      </c>
      <c r="K174" s="26">
        <f t="shared" si="24"/>
        <v>1420.77905192</v>
      </c>
    </row>
    <row r="175" spans="1:11" ht="45">
      <c r="A175" s="43" t="s">
        <v>204</v>
      </c>
      <c r="B175" s="35"/>
      <c r="C175" s="29" t="s">
        <v>112</v>
      </c>
      <c r="D175" s="36">
        <v>3.8</v>
      </c>
      <c r="E175" s="30">
        <v>2.5</v>
      </c>
      <c r="F175" s="30">
        <f>F174</f>
        <v>250.91</v>
      </c>
      <c r="G175" s="31">
        <f t="shared" si="30"/>
        <v>627.275</v>
      </c>
      <c r="H175" s="31">
        <f t="shared" si="31"/>
        <v>190.064325</v>
      </c>
      <c r="I175" s="31">
        <v>288.63</v>
      </c>
      <c r="J175" s="31">
        <f t="shared" si="32"/>
        <v>1105.969325</v>
      </c>
      <c r="K175" s="26">
        <f t="shared" si="24"/>
        <v>1305.0438035</v>
      </c>
    </row>
    <row r="176" spans="1:11" ht="30">
      <c r="A176" s="43" t="s">
        <v>210</v>
      </c>
      <c r="B176" s="29"/>
      <c r="C176" s="29" t="s">
        <v>112</v>
      </c>
      <c r="D176" s="36">
        <v>3.5</v>
      </c>
      <c r="E176" s="30">
        <v>1.7</v>
      </c>
      <c r="F176" s="30">
        <f>F174</f>
        <v>250.91</v>
      </c>
      <c r="G176" s="31">
        <f t="shared" si="30"/>
        <v>426.54699999999997</v>
      </c>
      <c r="H176" s="31">
        <f t="shared" si="31"/>
        <v>129.243741</v>
      </c>
      <c r="I176" s="31">
        <v>262.97</v>
      </c>
      <c r="J176" s="31">
        <f t="shared" si="32"/>
        <v>818.760741</v>
      </c>
      <c r="K176" s="26">
        <f t="shared" si="24"/>
        <v>966.13767438</v>
      </c>
    </row>
    <row r="177" spans="1:11" ht="30">
      <c r="A177" s="43" t="s">
        <v>212</v>
      </c>
      <c r="B177" s="35"/>
      <c r="C177" s="29" t="s">
        <v>112</v>
      </c>
      <c r="D177" s="36">
        <v>4.2</v>
      </c>
      <c r="E177" s="30">
        <v>0.62</v>
      </c>
      <c r="F177" s="30">
        <f>F175</f>
        <v>250.91</v>
      </c>
      <c r="G177" s="31">
        <f t="shared" si="30"/>
        <v>155.5642</v>
      </c>
      <c r="H177" s="31">
        <f t="shared" si="31"/>
        <v>47.1359526</v>
      </c>
      <c r="I177" s="31">
        <v>92.66</v>
      </c>
      <c r="J177" s="31">
        <f t="shared" si="32"/>
        <v>295.3601526</v>
      </c>
      <c r="K177" s="26">
        <f t="shared" si="24"/>
        <v>348.524980068</v>
      </c>
    </row>
    <row r="178" spans="1:11" ht="45">
      <c r="A178" s="43" t="s">
        <v>252</v>
      </c>
      <c r="B178" s="35"/>
      <c r="C178" s="29" t="s">
        <v>112</v>
      </c>
      <c r="D178" s="36">
        <v>4.2</v>
      </c>
      <c r="E178" s="30">
        <f>0.62*2</f>
        <v>1.24</v>
      </c>
      <c r="F178" s="30">
        <f>F176</f>
        <v>250.91</v>
      </c>
      <c r="G178" s="31">
        <f t="shared" si="30"/>
        <v>311.1284</v>
      </c>
      <c r="H178" s="31">
        <f t="shared" si="31"/>
        <v>94.2719052</v>
      </c>
      <c r="I178" s="31">
        <v>92.66</v>
      </c>
      <c r="J178" s="31">
        <f t="shared" si="32"/>
        <v>498.0603052</v>
      </c>
      <c r="K178" s="26">
        <f t="shared" si="24"/>
        <v>587.711160136</v>
      </c>
    </row>
    <row r="179" spans="1:11" ht="30">
      <c r="A179" s="43" t="s">
        <v>213</v>
      </c>
      <c r="B179" s="35"/>
      <c r="C179" s="29" t="s">
        <v>112</v>
      </c>
      <c r="D179" s="36">
        <v>4.2</v>
      </c>
      <c r="E179" s="30">
        <v>1.03</v>
      </c>
      <c r="F179" s="30">
        <f>F177</f>
        <v>250.91</v>
      </c>
      <c r="G179" s="31">
        <f t="shared" si="30"/>
        <v>258.4373</v>
      </c>
      <c r="H179" s="31">
        <f t="shared" si="31"/>
        <v>78.3065019</v>
      </c>
      <c r="I179" s="31">
        <v>158.95</v>
      </c>
      <c r="J179" s="31">
        <f t="shared" si="32"/>
        <v>495.6938019</v>
      </c>
      <c r="K179" s="26">
        <f t="shared" si="24"/>
        <v>584.9186862419999</v>
      </c>
    </row>
    <row r="180" spans="1:11" ht="45">
      <c r="A180" s="43" t="s">
        <v>253</v>
      </c>
      <c r="B180" s="35"/>
      <c r="C180" s="29" t="s">
        <v>112</v>
      </c>
      <c r="D180" s="36">
        <v>4.2</v>
      </c>
      <c r="E180" s="30">
        <f>1.03+0.3</f>
        <v>1.33</v>
      </c>
      <c r="F180" s="30">
        <f>F178</f>
        <v>250.91</v>
      </c>
      <c r="G180" s="31">
        <f t="shared" si="30"/>
        <v>333.7103</v>
      </c>
      <c r="H180" s="31">
        <f t="shared" si="31"/>
        <v>101.1142209</v>
      </c>
      <c r="I180" s="31">
        <v>158.95</v>
      </c>
      <c r="J180" s="31">
        <f t="shared" si="32"/>
        <v>593.7745209</v>
      </c>
      <c r="K180" s="26">
        <f t="shared" si="24"/>
        <v>700.653934662</v>
      </c>
    </row>
    <row r="181" spans="1:11" ht="15">
      <c r="A181" s="79" t="s">
        <v>82</v>
      </c>
      <c r="B181" s="80"/>
      <c r="C181" s="80"/>
      <c r="D181" s="80"/>
      <c r="E181" s="80"/>
      <c r="F181" s="80"/>
      <c r="G181" s="80"/>
      <c r="H181" s="80"/>
      <c r="I181" s="80"/>
      <c r="J181" s="81"/>
      <c r="K181" s="26"/>
    </row>
    <row r="182" spans="1:11" ht="14.25">
      <c r="A182" s="44" t="s">
        <v>501</v>
      </c>
      <c r="B182" s="72" t="s">
        <v>498</v>
      </c>
      <c r="C182" s="73"/>
      <c r="D182" s="73"/>
      <c r="E182" s="73"/>
      <c r="F182" s="73"/>
      <c r="G182" s="73"/>
      <c r="H182" s="73"/>
      <c r="I182" s="73"/>
      <c r="J182" s="73"/>
      <c r="K182" s="74"/>
    </row>
    <row r="183" spans="1:11" ht="15">
      <c r="A183" s="32" t="s">
        <v>636</v>
      </c>
      <c r="B183" s="33" t="s">
        <v>495</v>
      </c>
      <c r="C183" s="24" t="s">
        <v>85</v>
      </c>
      <c r="D183" s="24">
        <v>2</v>
      </c>
      <c r="E183" s="22">
        <f>2.54/100</f>
        <v>0.0254</v>
      </c>
      <c r="F183" s="26">
        <v>216.8</v>
      </c>
      <c r="G183" s="26">
        <f aca="true" t="shared" si="33" ref="G183:G205">F183*E183</f>
        <v>5.5067200000000005</v>
      </c>
      <c r="H183" s="26">
        <f>G183*30.3/100</f>
        <v>1.6685361600000002</v>
      </c>
      <c r="I183" s="26">
        <f aca="true" t="shared" si="34" ref="I183:I205">G183*30/100</f>
        <v>1.6520160000000002</v>
      </c>
      <c r="J183" s="26">
        <f aca="true" t="shared" si="35" ref="J183:J205">G183+H183+I183</f>
        <v>8.827272160000001</v>
      </c>
      <c r="K183" s="26">
        <f t="shared" si="24"/>
        <v>10.416181148800002</v>
      </c>
    </row>
    <row r="184" spans="1:11" ht="15">
      <c r="A184" s="32" t="s">
        <v>637</v>
      </c>
      <c r="B184" s="23" t="s">
        <v>496</v>
      </c>
      <c r="C184" s="22" t="s">
        <v>85</v>
      </c>
      <c r="D184" s="24">
        <v>2</v>
      </c>
      <c r="E184" s="22">
        <f>2.77/100</f>
        <v>0.0277</v>
      </c>
      <c r="F184" s="26">
        <v>216.8</v>
      </c>
      <c r="G184" s="26">
        <f t="shared" si="33"/>
        <v>6.0053600000000005</v>
      </c>
      <c r="H184" s="26">
        <f aca="true" t="shared" si="36" ref="H184:H191">G184*30.3/100</f>
        <v>1.81962408</v>
      </c>
      <c r="I184" s="26">
        <f t="shared" si="34"/>
        <v>1.8016080000000003</v>
      </c>
      <c r="J184" s="26">
        <f t="shared" si="35"/>
        <v>9.62659208</v>
      </c>
      <c r="K184" s="26">
        <f t="shared" si="24"/>
        <v>11.359378654399999</v>
      </c>
    </row>
    <row r="185" spans="1:11" ht="14.25">
      <c r="A185" s="44" t="s">
        <v>500</v>
      </c>
      <c r="B185" s="72" t="s">
        <v>497</v>
      </c>
      <c r="C185" s="73"/>
      <c r="D185" s="73"/>
      <c r="E185" s="73"/>
      <c r="F185" s="73"/>
      <c r="G185" s="73"/>
      <c r="H185" s="73"/>
      <c r="I185" s="73"/>
      <c r="J185" s="73"/>
      <c r="K185" s="74"/>
    </row>
    <row r="186" spans="1:11" ht="15">
      <c r="A186" s="32" t="s">
        <v>499</v>
      </c>
      <c r="B186" s="33" t="s">
        <v>502</v>
      </c>
      <c r="C186" s="24" t="s">
        <v>112</v>
      </c>
      <c r="D186" s="24">
        <v>4</v>
      </c>
      <c r="E186" s="22">
        <f>5.84/100</f>
        <v>0.0584</v>
      </c>
      <c r="F186" s="26">
        <v>216.8</v>
      </c>
      <c r="G186" s="26">
        <f t="shared" si="33"/>
        <v>12.66112</v>
      </c>
      <c r="H186" s="26">
        <f t="shared" si="36"/>
        <v>3.83631936</v>
      </c>
      <c r="I186" s="26">
        <f t="shared" si="34"/>
        <v>3.798336</v>
      </c>
      <c r="J186" s="26">
        <f t="shared" si="35"/>
        <v>20.29577536</v>
      </c>
      <c r="K186" s="26">
        <f t="shared" si="24"/>
        <v>23.9490149248</v>
      </c>
    </row>
    <row r="187" spans="1:11" ht="15">
      <c r="A187" s="32" t="s">
        <v>503</v>
      </c>
      <c r="B187" s="33" t="s">
        <v>504</v>
      </c>
      <c r="C187" s="24" t="s">
        <v>112</v>
      </c>
      <c r="D187" s="24">
        <v>2</v>
      </c>
      <c r="E187" s="22">
        <f>3.74/100</f>
        <v>0.0374</v>
      </c>
      <c r="F187" s="26">
        <v>216.8</v>
      </c>
      <c r="G187" s="26">
        <f t="shared" si="33"/>
        <v>8.10832</v>
      </c>
      <c r="H187" s="26">
        <f t="shared" si="36"/>
        <v>2.4568209600000004</v>
      </c>
      <c r="I187" s="26">
        <f t="shared" si="34"/>
        <v>2.432496</v>
      </c>
      <c r="J187" s="26">
        <f t="shared" si="35"/>
        <v>12.997636960000001</v>
      </c>
      <c r="K187" s="26">
        <f t="shared" si="24"/>
        <v>15.337211612800001</v>
      </c>
    </row>
    <row r="188" spans="1:11" ht="30">
      <c r="A188" s="32" t="s">
        <v>505</v>
      </c>
      <c r="B188" s="33" t="s">
        <v>506</v>
      </c>
      <c r="C188" s="24" t="s">
        <v>112</v>
      </c>
      <c r="D188" s="24">
        <v>2</v>
      </c>
      <c r="E188" s="22">
        <f>6.32/100</f>
        <v>0.0632</v>
      </c>
      <c r="F188" s="26">
        <v>216.8</v>
      </c>
      <c r="G188" s="26">
        <f t="shared" si="33"/>
        <v>13.701760000000002</v>
      </c>
      <c r="H188" s="26">
        <f t="shared" si="36"/>
        <v>4.151633280000001</v>
      </c>
      <c r="I188" s="26">
        <f t="shared" si="34"/>
        <v>4.110528</v>
      </c>
      <c r="J188" s="26">
        <f t="shared" si="35"/>
        <v>21.96392128</v>
      </c>
      <c r="K188" s="26">
        <f t="shared" si="24"/>
        <v>25.9174271104</v>
      </c>
    </row>
    <row r="189" spans="1:11" ht="15">
      <c r="A189" s="32" t="s">
        <v>507</v>
      </c>
      <c r="B189" s="33" t="s">
        <v>508</v>
      </c>
      <c r="C189" s="24" t="s">
        <v>112</v>
      </c>
      <c r="D189" s="24">
        <v>3.8</v>
      </c>
      <c r="E189" s="22">
        <f>28.3/100</f>
        <v>0.28300000000000003</v>
      </c>
      <c r="F189" s="26">
        <v>216.8</v>
      </c>
      <c r="G189" s="26">
        <f t="shared" si="33"/>
        <v>61.35440000000001</v>
      </c>
      <c r="H189" s="26">
        <f t="shared" si="36"/>
        <v>18.590383200000005</v>
      </c>
      <c r="I189" s="26">
        <f t="shared" si="34"/>
        <v>18.406320000000004</v>
      </c>
      <c r="J189" s="26">
        <f t="shared" si="35"/>
        <v>98.35110320000003</v>
      </c>
      <c r="K189" s="26">
        <f t="shared" si="24"/>
        <v>116.05430177600003</v>
      </c>
    </row>
    <row r="190" spans="1:11" ht="30">
      <c r="A190" s="32" t="s">
        <v>509</v>
      </c>
      <c r="B190" s="33" t="s">
        <v>510</v>
      </c>
      <c r="C190" s="24" t="s">
        <v>112</v>
      </c>
      <c r="D190" s="24">
        <v>3.8</v>
      </c>
      <c r="E190" s="22">
        <f>17.89/100</f>
        <v>0.1789</v>
      </c>
      <c r="F190" s="26">
        <v>216.8</v>
      </c>
      <c r="G190" s="26">
        <f t="shared" si="33"/>
        <v>38.785520000000005</v>
      </c>
      <c r="H190" s="26">
        <f t="shared" si="36"/>
        <v>11.752012560000002</v>
      </c>
      <c r="I190" s="26">
        <f t="shared" si="34"/>
        <v>11.635656</v>
      </c>
      <c r="J190" s="26">
        <f t="shared" si="35"/>
        <v>62.173188560000014</v>
      </c>
      <c r="K190" s="26">
        <f t="shared" si="24"/>
        <v>73.36436250080001</v>
      </c>
    </row>
    <row r="191" spans="1:11" ht="15">
      <c r="A191" s="32" t="s">
        <v>511</v>
      </c>
      <c r="B191" s="33" t="s">
        <v>512</v>
      </c>
      <c r="C191" s="24" t="s">
        <v>19</v>
      </c>
      <c r="D191" s="24">
        <v>2</v>
      </c>
      <c r="E191" s="22">
        <f>25.72/100</f>
        <v>0.2572</v>
      </c>
      <c r="F191" s="26">
        <v>216.8</v>
      </c>
      <c r="G191" s="26">
        <f t="shared" si="33"/>
        <v>55.76096</v>
      </c>
      <c r="H191" s="26">
        <f t="shared" si="36"/>
        <v>16.89557088</v>
      </c>
      <c r="I191" s="26">
        <f t="shared" si="34"/>
        <v>16.728288</v>
      </c>
      <c r="J191" s="26">
        <f t="shared" si="35"/>
        <v>89.38481887999998</v>
      </c>
      <c r="K191" s="26">
        <f t="shared" si="24"/>
        <v>105.47408627839998</v>
      </c>
    </row>
    <row r="192" spans="1:11" ht="14.25">
      <c r="A192" s="44" t="s">
        <v>513</v>
      </c>
      <c r="B192" s="72" t="s">
        <v>514</v>
      </c>
      <c r="C192" s="73"/>
      <c r="D192" s="73"/>
      <c r="E192" s="73"/>
      <c r="F192" s="73"/>
      <c r="G192" s="73"/>
      <c r="H192" s="73"/>
      <c r="I192" s="73"/>
      <c r="J192" s="73"/>
      <c r="K192" s="74"/>
    </row>
    <row r="193" spans="1:11" ht="60" hidden="1">
      <c r="A193" s="22" t="s">
        <v>0</v>
      </c>
      <c r="B193" s="22" t="s">
        <v>1</v>
      </c>
      <c r="C193" s="22" t="s">
        <v>2</v>
      </c>
      <c r="D193" s="23" t="s">
        <v>3</v>
      </c>
      <c r="E193" s="23" t="s">
        <v>4</v>
      </c>
      <c r="F193" s="26">
        <v>216.8</v>
      </c>
      <c r="G193" s="23" t="s">
        <v>6</v>
      </c>
      <c r="H193" s="23" t="s">
        <v>209</v>
      </c>
      <c r="I193" s="23" t="s">
        <v>7</v>
      </c>
      <c r="J193" s="23" t="s">
        <v>8</v>
      </c>
      <c r="K193" s="26" t="e">
        <f t="shared" si="24"/>
        <v>#VALUE!</v>
      </c>
    </row>
    <row r="194" spans="1:11" ht="15" hidden="1">
      <c r="A194" s="22">
        <v>1</v>
      </c>
      <c r="B194" s="22">
        <v>2</v>
      </c>
      <c r="C194" s="22">
        <v>3</v>
      </c>
      <c r="D194" s="23">
        <v>4</v>
      </c>
      <c r="E194" s="23">
        <v>5</v>
      </c>
      <c r="F194" s="26">
        <v>216.8</v>
      </c>
      <c r="G194" s="23">
        <v>7</v>
      </c>
      <c r="H194" s="23">
        <v>8</v>
      </c>
      <c r="I194" s="23">
        <v>9</v>
      </c>
      <c r="J194" s="23">
        <v>10</v>
      </c>
      <c r="K194" s="26">
        <f t="shared" si="24"/>
        <v>11.799999999999999</v>
      </c>
    </row>
    <row r="195" spans="1:11" ht="15" hidden="1">
      <c r="A195" s="32"/>
      <c r="B195" s="33"/>
      <c r="C195" s="24"/>
      <c r="D195" s="24"/>
      <c r="E195" s="22"/>
      <c r="F195" s="26">
        <v>216.8</v>
      </c>
      <c r="G195" s="26"/>
      <c r="H195" s="26"/>
      <c r="I195" s="26"/>
      <c r="J195" s="26"/>
      <c r="K195" s="26">
        <f t="shared" si="24"/>
        <v>0</v>
      </c>
    </row>
    <row r="196" spans="1:11" ht="30.75" customHeight="1">
      <c r="A196" s="32" t="s">
        <v>515</v>
      </c>
      <c r="B196" s="33" t="s">
        <v>516</v>
      </c>
      <c r="C196" s="24" t="s">
        <v>19</v>
      </c>
      <c r="D196" s="24">
        <v>4.2</v>
      </c>
      <c r="E196" s="22">
        <f>7.1/100</f>
        <v>0.071</v>
      </c>
      <c r="F196" s="26">
        <v>216.8</v>
      </c>
      <c r="G196" s="26">
        <f>F196*E196</f>
        <v>15.3928</v>
      </c>
      <c r="H196" s="26">
        <f>G196*30.3/100</f>
        <v>4.6640184</v>
      </c>
      <c r="I196" s="26">
        <f>G196*30/100</f>
        <v>4.61784</v>
      </c>
      <c r="J196" s="26">
        <f>G196+H196+I196</f>
        <v>24.6746584</v>
      </c>
      <c r="K196" s="26">
        <f t="shared" si="24"/>
        <v>29.116096911999996</v>
      </c>
    </row>
    <row r="197" spans="1:11" ht="15">
      <c r="A197" s="32" t="s">
        <v>517</v>
      </c>
      <c r="B197" s="33" t="s">
        <v>518</v>
      </c>
      <c r="C197" s="24" t="s">
        <v>19</v>
      </c>
      <c r="D197" s="24">
        <v>4</v>
      </c>
      <c r="E197" s="22">
        <f>13.9/100</f>
        <v>0.139</v>
      </c>
      <c r="F197" s="26">
        <v>216.8</v>
      </c>
      <c r="G197" s="26">
        <f t="shared" si="33"/>
        <v>30.135200000000005</v>
      </c>
      <c r="H197" s="26">
        <f>G197*30.3/100</f>
        <v>9.130965600000001</v>
      </c>
      <c r="I197" s="26">
        <f t="shared" si="34"/>
        <v>9.040560000000001</v>
      </c>
      <c r="J197" s="26">
        <f t="shared" si="35"/>
        <v>48.30672560000001</v>
      </c>
      <c r="K197" s="26">
        <f t="shared" si="24"/>
        <v>57.001936208000004</v>
      </c>
    </row>
    <row r="198" spans="1:11" ht="14.25">
      <c r="A198" s="44" t="s">
        <v>519</v>
      </c>
      <c r="B198" s="72" t="s">
        <v>520</v>
      </c>
      <c r="C198" s="73"/>
      <c r="D198" s="73"/>
      <c r="E198" s="73"/>
      <c r="F198" s="73"/>
      <c r="G198" s="73"/>
      <c r="H198" s="73"/>
      <c r="I198" s="73"/>
      <c r="J198" s="73"/>
      <c r="K198" s="74"/>
    </row>
    <row r="199" spans="1:11" ht="15">
      <c r="A199" s="32" t="s">
        <v>521</v>
      </c>
      <c r="B199" s="33" t="s">
        <v>522</v>
      </c>
      <c r="C199" s="24" t="s">
        <v>19</v>
      </c>
      <c r="D199" s="24">
        <v>3.9</v>
      </c>
      <c r="E199" s="22">
        <f>86.1/100</f>
        <v>0.861</v>
      </c>
      <c r="F199" s="26">
        <v>216.8</v>
      </c>
      <c r="G199" s="26">
        <f t="shared" si="33"/>
        <v>186.6648</v>
      </c>
      <c r="H199" s="26">
        <f aca="true" t="shared" si="37" ref="H199:H207">G199*30.3/100</f>
        <v>56.55943440000001</v>
      </c>
      <c r="I199" s="26">
        <f t="shared" si="34"/>
        <v>55.99944000000001</v>
      </c>
      <c r="J199" s="26">
        <f t="shared" si="35"/>
        <v>299.22367440000005</v>
      </c>
      <c r="K199" s="26">
        <f t="shared" si="24"/>
        <v>353.08393579200003</v>
      </c>
    </row>
    <row r="200" spans="1:11" ht="14.25">
      <c r="A200" s="44" t="s">
        <v>523</v>
      </c>
      <c r="B200" s="72" t="s">
        <v>524</v>
      </c>
      <c r="C200" s="73"/>
      <c r="D200" s="73"/>
      <c r="E200" s="73"/>
      <c r="F200" s="73"/>
      <c r="G200" s="73"/>
      <c r="H200" s="73"/>
      <c r="I200" s="73"/>
      <c r="J200" s="73"/>
      <c r="K200" s="74"/>
    </row>
    <row r="201" spans="1:11" ht="30">
      <c r="A201" s="32" t="s">
        <v>505</v>
      </c>
      <c r="B201" s="33" t="s">
        <v>525</v>
      </c>
      <c r="C201" s="24" t="s">
        <v>112</v>
      </c>
      <c r="D201" s="24">
        <v>2</v>
      </c>
      <c r="E201" s="22">
        <f>89.1/100</f>
        <v>0.8909999999999999</v>
      </c>
      <c r="F201" s="26">
        <v>216.8</v>
      </c>
      <c r="G201" s="26">
        <f t="shared" si="33"/>
        <v>193.16879999999998</v>
      </c>
      <c r="H201" s="26">
        <f t="shared" si="37"/>
        <v>58.53014639999999</v>
      </c>
      <c r="I201" s="26">
        <f t="shared" si="34"/>
        <v>57.95063999999999</v>
      </c>
      <c r="J201" s="26">
        <f t="shared" si="35"/>
        <v>309.6495864</v>
      </c>
      <c r="K201" s="26">
        <f t="shared" si="24"/>
        <v>365.386511952</v>
      </c>
    </row>
    <row r="202" spans="1:11" ht="30">
      <c r="A202" s="32" t="s">
        <v>526</v>
      </c>
      <c r="B202" s="33" t="s">
        <v>527</v>
      </c>
      <c r="C202" s="22" t="s">
        <v>112</v>
      </c>
      <c r="D202" s="24">
        <v>4.2</v>
      </c>
      <c r="E202" s="22">
        <f>163.3/100</f>
        <v>1.633</v>
      </c>
      <c r="F202" s="26">
        <v>216.8</v>
      </c>
      <c r="G202" s="26">
        <f t="shared" si="33"/>
        <v>354.0344</v>
      </c>
      <c r="H202" s="26">
        <f t="shared" si="37"/>
        <v>107.2724232</v>
      </c>
      <c r="I202" s="26">
        <f t="shared" si="34"/>
        <v>106.21032</v>
      </c>
      <c r="J202" s="26">
        <f t="shared" si="35"/>
        <v>567.5171432</v>
      </c>
      <c r="K202" s="26">
        <f t="shared" si="24"/>
        <v>669.670228976</v>
      </c>
    </row>
    <row r="203" spans="1:11" ht="14.25">
      <c r="A203" s="44" t="s">
        <v>528</v>
      </c>
      <c r="B203" s="72" t="s">
        <v>529</v>
      </c>
      <c r="C203" s="73"/>
      <c r="D203" s="73"/>
      <c r="E203" s="73"/>
      <c r="F203" s="73"/>
      <c r="G203" s="73"/>
      <c r="H203" s="73"/>
      <c r="I203" s="73"/>
      <c r="J203" s="73"/>
      <c r="K203" s="74"/>
    </row>
    <row r="204" spans="1:11" ht="15">
      <c r="A204" s="37" t="s">
        <v>530</v>
      </c>
      <c r="B204" s="33" t="s">
        <v>532</v>
      </c>
      <c r="C204" s="24" t="s">
        <v>112</v>
      </c>
      <c r="D204" s="24">
        <v>3</v>
      </c>
      <c r="E204" s="22">
        <f>24.1/100</f>
        <v>0.24100000000000002</v>
      </c>
      <c r="F204" s="26">
        <v>216.8</v>
      </c>
      <c r="G204" s="26">
        <f t="shared" si="33"/>
        <v>52.24880000000001</v>
      </c>
      <c r="H204" s="26">
        <f t="shared" si="37"/>
        <v>15.831386400000003</v>
      </c>
      <c r="I204" s="26">
        <f t="shared" si="34"/>
        <v>15.674640000000004</v>
      </c>
      <c r="J204" s="26">
        <f t="shared" si="35"/>
        <v>83.75482640000001</v>
      </c>
      <c r="K204" s="26">
        <f t="shared" si="24"/>
        <v>98.830695152</v>
      </c>
    </row>
    <row r="205" spans="1:11" ht="15">
      <c r="A205" s="37" t="s">
        <v>531</v>
      </c>
      <c r="B205" s="33" t="s">
        <v>533</v>
      </c>
      <c r="C205" s="24" t="s">
        <v>112</v>
      </c>
      <c r="D205" s="24">
        <v>4.2</v>
      </c>
      <c r="E205" s="22">
        <f>24.1/100</f>
        <v>0.24100000000000002</v>
      </c>
      <c r="F205" s="26">
        <v>216.8</v>
      </c>
      <c r="G205" s="26">
        <f t="shared" si="33"/>
        <v>52.24880000000001</v>
      </c>
      <c r="H205" s="26">
        <f t="shared" si="37"/>
        <v>15.831386400000003</v>
      </c>
      <c r="I205" s="26">
        <f t="shared" si="34"/>
        <v>15.674640000000004</v>
      </c>
      <c r="J205" s="26">
        <f t="shared" si="35"/>
        <v>83.75482640000001</v>
      </c>
      <c r="K205" s="26">
        <f t="shared" si="24"/>
        <v>98.830695152</v>
      </c>
    </row>
    <row r="206" spans="1:11" ht="14.25">
      <c r="A206" s="44" t="s">
        <v>534</v>
      </c>
      <c r="B206" s="72" t="s">
        <v>535</v>
      </c>
      <c r="C206" s="73"/>
      <c r="D206" s="73"/>
      <c r="E206" s="73"/>
      <c r="F206" s="73"/>
      <c r="G206" s="73"/>
      <c r="H206" s="73"/>
      <c r="I206" s="73"/>
      <c r="J206" s="73"/>
      <c r="K206" s="74"/>
    </row>
    <row r="207" spans="1:11" ht="15">
      <c r="A207" s="32" t="s">
        <v>536</v>
      </c>
      <c r="B207" s="33" t="s">
        <v>537</v>
      </c>
      <c r="C207" s="22" t="s">
        <v>112</v>
      </c>
      <c r="D207" s="24">
        <v>3.8</v>
      </c>
      <c r="E207" s="22">
        <f>87.3/100</f>
        <v>0.873</v>
      </c>
      <c r="F207" s="26">
        <v>216.8</v>
      </c>
      <c r="G207" s="26">
        <f>F207*E207</f>
        <v>189.2664</v>
      </c>
      <c r="H207" s="26">
        <f t="shared" si="37"/>
        <v>57.3477192</v>
      </c>
      <c r="I207" s="26">
        <f>G207*30/100</f>
        <v>56.779920000000004</v>
      </c>
      <c r="J207" s="26">
        <f>G207+H207+I207</f>
        <v>303.3940392</v>
      </c>
      <c r="K207" s="26">
        <f t="shared" si="24"/>
        <v>358.004966256</v>
      </c>
    </row>
    <row r="208" spans="1:11" ht="14.25">
      <c r="A208" s="44" t="s">
        <v>538</v>
      </c>
      <c r="B208" s="72" t="s">
        <v>539</v>
      </c>
      <c r="C208" s="73"/>
      <c r="D208" s="73"/>
      <c r="E208" s="73"/>
      <c r="F208" s="73"/>
      <c r="G208" s="73"/>
      <c r="H208" s="73"/>
      <c r="I208" s="73"/>
      <c r="J208" s="73"/>
      <c r="K208" s="74"/>
    </row>
    <row r="209" spans="1:11" ht="15" hidden="1">
      <c r="A209" s="54" t="s">
        <v>211</v>
      </c>
      <c r="B209" s="55"/>
      <c r="C209" s="55"/>
      <c r="D209" s="55"/>
      <c r="E209" s="55"/>
      <c r="F209" s="55"/>
      <c r="G209" s="55"/>
      <c r="H209" s="55"/>
      <c r="I209" s="55"/>
      <c r="J209" s="56"/>
      <c r="K209" s="26">
        <f aca="true" t="shared" si="38" ref="K209:K216">J209*1.18</f>
        <v>0</v>
      </c>
    </row>
    <row r="210" spans="1:11" ht="15" hidden="1">
      <c r="A210" s="32" t="s">
        <v>128</v>
      </c>
      <c r="B210" s="21"/>
      <c r="C210" s="33" t="s">
        <v>129</v>
      </c>
      <c r="D210" s="24">
        <v>3</v>
      </c>
      <c r="E210" s="24">
        <v>0.5</v>
      </c>
      <c r="F210" s="24">
        <v>234.02</v>
      </c>
      <c r="G210" s="34">
        <f aca="true" t="shared" si="39" ref="G210:G216">F210*E210</f>
        <v>117.01</v>
      </c>
      <c r="H210" s="34">
        <f aca="true" t="shared" si="40" ref="H210:H216">G210*30.3/100</f>
        <v>35.45403</v>
      </c>
      <c r="I210" s="34">
        <f aca="true" t="shared" si="41" ref="I210:I216">G210*30/100</f>
        <v>35.103</v>
      </c>
      <c r="J210" s="34">
        <f aca="true" t="shared" si="42" ref="J210:J216">G210+H210+I210</f>
        <v>187.56703000000002</v>
      </c>
      <c r="K210" s="26">
        <f t="shared" si="38"/>
        <v>221.3290954</v>
      </c>
    </row>
    <row r="211" spans="1:11" ht="15" hidden="1">
      <c r="A211" s="32" t="s">
        <v>130</v>
      </c>
      <c r="B211" s="33"/>
      <c r="C211" s="24" t="s">
        <v>112</v>
      </c>
      <c r="D211" s="24">
        <v>3</v>
      </c>
      <c r="E211" s="24">
        <v>0.117</v>
      </c>
      <c r="F211" s="24">
        <v>234.02</v>
      </c>
      <c r="G211" s="34">
        <f t="shared" si="39"/>
        <v>27.380340000000004</v>
      </c>
      <c r="H211" s="34">
        <f t="shared" si="40"/>
        <v>8.296243020000002</v>
      </c>
      <c r="I211" s="34">
        <f t="shared" si="41"/>
        <v>8.214102000000002</v>
      </c>
      <c r="J211" s="34">
        <f t="shared" si="42"/>
        <v>43.890685020000014</v>
      </c>
      <c r="K211" s="26">
        <f t="shared" si="38"/>
        <v>51.79100832360001</v>
      </c>
    </row>
    <row r="212" spans="1:11" ht="15" hidden="1">
      <c r="A212" s="32" t="s">
        <v>131</v>
      </c>
      <c r="B212" s="33"/>
      <c r="C212" s="24" t="s">
        <v>112</v>
      </c>
      <c r="D212" s="24">
        <v>3</v>
      </c>
      <c r="E212" s="24">
        <v>0.083</v>
      </c>
      <c r="F212" s="24">
        <v>234.02</v>
      </c>
      <c r="G212" s="34">
        <f t="shared" si="39"/>
        <v>19.42366</v>
      </c>
      <c r="H212" s="34">
        <f t="shared" si="40"/>
        <v>5.885368980000001</v>
      </c>
      <c r="I212" s="34">
        <f t="shared" si="41"/>
        <v>5.827098000000001</v>
      </c>
      <c r="J212" s="34">
        <f t="shared" si="42"/>
        <v>31.13612698</v>
      </c>
      <c r="K212" s="26">
        <f t="shared" si="38"/>
        <v>36.7406298364</v>
      </c>
    </row>
    <row r="213" spans="1:11" ht="30" hidden="1">
      <c r="A213" s="32" t="s">
        <v>132</v>
      </c>
      <c r="B213" s="33"/>
      <c r="C213" s="24" t="s">
        <v>112</v>
      </c>
      <c r="D213" s="24">
        <v>3</v>
      </c>
      <c r="E213" s="24">
        <v>0.5</v>
      </c>
      <c r="F213" s="24">
        <v>234.02</v>
      </c>
      <c r="G213" s="34">
        <f t="shared" si="39"/>
        <v>117.01</v>
      </c>
      <c r="H213" s="34">
        <f t="shared" si="40"/>
        <v>35.45403</v>
      </c>
      <c r="I213" s="34">
        <f t="shared" si="41"/>
        <v>35.103</v>
      </c>
      <c r="J213" s="34">
        <f t="shared" si="42"/>
        <v>187.56703000000002</v>
      </c>
      <c r="K213" s="26">
        <f t="shared" si="38"/>
        <v>221.3290954</v>
      </c>
    </row>
    <row r="214" spans="1:11" ht="30" hidden="1">
      <c r="A214" s="32" t="s">
        <v>133</v>
      </c>
      <c r="B214" s="33"/>
      <c r="C214" s="24" t="s">
        <v>112</v>
      </c>
      <c r="D214" s="24">
        <v>3</v>
      </c>
      <c r="E214" s="24">
        <v>0.3</v>
      </c>
      <c r="F214" s="24">
        <v>234.02</v>
      </c>
      <c r="G214" s="34">
        <f t="shared" si="39"/>
        <v>70.206</v>
      </c>
      <c r="H214" s="34">
        <f t="shared" si="40"/>
        <v>21.272418000000002</v>
      </c>
      <c r="I214" s="34">
        <f t="shared" si="41"/>
        <v>21.0618</v>
      </c>
      <c r="J214" s="34">
        <f t="shared" si="42"/>
        <v>112.54021800000001</v>
      </c>
      <c r="K214" s="26">
        <f t="shared" si="38"/>
        <v>132.79745724</v>
      </c>
    </row>
    <row r="215" spans="1:11" ht="30" hidden="1">
      <c r="A215" s="32" t="s">
        <v>134</v>
      </c>
      <c r="B215" s="33"/>
      <c r="C215" s="33" t="s">
        <v>135</v>
      </c>
      <c r="D215" s="24">
        <v>3</v>
      </c>
      <c r="E215" s="24">
        <v>2.16</v>
      </c>
      <c r="F215" s="24">
        <v>234.02</v>
      </c>
      <c r="G215" s="34">
        <f t="shared" si="39"/>
        <v>505.48320000000007</v>
      </c>
      <c r="H215" s="34">
        <f t="shared" si="40"/>
        <v>153.1614096</v>
      </c>
      <c r="I215" s="34">
        <f t="shared" si="41"/>
        <v>151.64496000000003</v>
      </c>
      <c r="J215" s="34">
        <f t="shared" si="42"/>
        <v>810.2895696</v>
      </c>
      <c r="K215" s="26">
        <f t="shared" si="38"/>
        <v>956.141692128</v>
      </c>
    </row>
    <row r="216" spans="1:11" ht="15">
      <c r="A216" s="32" t="s">
        <v>540</v>
      </c>
      <c r="B216" s="33" t="s">
        <v>541</v>
      </c>
      <c r="C216" s="22" t="s">
        <v>112</v>
      </c>
      <c r="D216" s="24">
        <v>3.8</v>
      </c>
      <c r="E216" s="22">
        <f>39.6/100</f>
        <v>0.396</v>
      </c>
      <c r="F216" s="26">
        <v>216.8</v>
      </c>
      <c r="G216" s="26">
        <f t="shared" si="39"/>
        <v>85.8528</v>
      </c>
      <c r="H216" s="26">
        <f t="shared" si="40"/>
        <v>26.0133984</v>
      </c>
      <c r="I216" s="26">
        <f t="shared" si="41"/>
        <v>25.75584</v>
      </c>
      <c r="J216" s="26">
        <f t="shared" si="42"/>
        <v>137.6220384</v>
      </c>
      <c r="K216" s="26">
        <f t="shared" si="38"/>
        <v>162.394005312</v>
      </c>
    </row>
    <row r="217" spans="1:11" ht="14.25">
      <c r="A217" s="44" t="s">
        <v>542</v>
      </c>
      <c r="B217" s="72" t="s">
        <v>543</v>
      </c>
      <c r="C217" s="73"/>
      <c r="D217" s="73"/>
      <c r="E217" s="73"/>
      <c r="F217" s="73"/>
      <c r="G217" s="73"/>
      <c r="H217" s="73"/>
      <c r="I217" s="73"/>
      <c r="J217" s="73"/>
      <c r="K217" s="74"/>
    </row>
    <row r="218" spans="1:11" ht="30">
      <c r="A218" s="46" t="s">
        <v>544</v>
      </c>
      <c r="B218" s="33" t="s">
        <v>545</v>
      </c>
      <c r="C218" s="22" t="s">
        <v>546</v>
      </c>
      <c r="D218" s="24">
        <v>3.8</v>
      </c>
      <c r="E218" s="22">
        <f>11.2/100</f>
        <v>0.11199999999999999</v>
      </c>
      <c r="F218" s="26">
        <v>216.8</v>
      </c>
      <c r="G218" s="26">
        <f aca="true" t="shared" si="43" ref="G218:G225">F218*E218</f>
        <v>24.281599999999997</v>
      </c>
      <c r="H218" s="26">
        <f aca="true" t="shared" si="44" ref="H218:H225">G218*30.3/100</f>
        <v>7.357324799999999</v>
      </c>
      <c r="I218" s="26">
        <f aca="true" t="shared" si="45" ref="I218:I225">G218*30/100</f>
        <v>7.2844799999999985</v>
      </c>
      <c r="J218" s="26">
        <f aca="true" t="shared" si="46" ref="J218:J225">G218+H218+I218</f>
        <v>38.9234048</v>
      </c>
      <c r="K218" s="26">
        <f aca="true" t="shared" si="47" ref="K218:K225">J218*1.18</f>
        <v>45.929617664</v>
      </c>
    </row>
    <row r="219" spans="1:11" ht="30">
      <c r="A219" s="46" t="s">
        <v>547</v>
      </c>
      <c r="B219" s="33" t="s">
        <v>548</v>
      </c>
      <c r="C219" s="22" t="s">
        <v>546</v>
      </c>
      <c r="D219" s="24">
        <v>3.8</v>
      </c>
      <c r="E219" s="22">
        <f>16.9/100</f>
        <v>0.16899999999999998</v>
      </c>
      <c r="F219" s="26">
        <v>216.8</v>
      </c>
      <c r="G219" s="26">
        <f t="shared" si="43"/>
        <v>36.639199999999995</v>
      </c>
      <c r="H219" s="26">
        <f t="shared" si="44"/>
        <v>11.101677599999999</v>
      </c>
      <c r="I219" s="26">
        <f t="shared" si="45"/>
        <v>10.99176</v>
      </c>
      <c r="J219" s="26">
        <f t="shared" si="46"/>
        <v>58.73263759999999</v>
      </c>
      <c r="K219" s="26">
        <f t="shared" si="47"/>
        <v>69.30451236799999</v>
      </c>
    </row>
    <row r="220" spans="1:11" ht="30" hidden="1">
      <c r="A220" s="46" t="s">
        <v>549</v>
      </c>
      <c r="B220" s="33" t="s">
        <v>550</v>
      </c>
      <c r="C220" s="22" t="s">
        <v>546</v>
      </c>
      <c r="D220" s="24">
        <v>3.8</v>
      </c>
      <c r="E220" s="22"/>
      <c r="F220" s="26"/>
      <c r="G220" s="26"/>
      <c r="H220" s="26"/>
      <c r="I220" s="26"/>
      <c r="J220" s="26"/>
      <c r="K220" s="26"/>
    </row>
    <row r="221" spans="1:11" ht="30">
      <c r="A221" s="46" t="s">
        <v>551</v>
      </c>
      <c r="B221" s="33" t="s">
        <v>552</v>
      </c>
      <c r="C221" s="22" t="s">
        <v>546</v>
      </c>
      <c r="D221" s="24">
        <v>3.8</v>
      </c>
      <c r="E221" s="22">
        <f>17/100</f>
        <v>0.17</v>
      </c>
      <c r="F221" s="26">
        <v>216.8</v>
      </c>
      <c r="G221" s="26">
        <f t="shared" si="43"/>
        <v>36.856</v>
      </c>
      <c r="H221" s="26">
        <f t="shared" si="44"/>
        <v>11.167368000000002</v>
      </c>
      <c r="I221" s="26">
        <f t="shared" si="45"/>
        <v>11.0568</v>
      </c>
      <c r="J221" s="26">
        <f t="shared" si="46"/>
        <v>59.08016800000001</v>
      </c>
      <c r="K221" s="26">
        <f t="shared" si="47"/>
        <v>69.71459824</v>
      </c>
    </row>
    <row r="222" spans="1:11" ht="30">
      <c r="A222" s="46" t="s">
        <v>553</v>
      </c>
      <c r="B222" s="33" t="s">
        <v>554</v>
      </c>
      <c r="C222" s="22" t="s">
        <v>546</v>
      </c>
      <c r="D222" s="24">
        <v>3.8</v>
      </c>
      <c r="E222" s="22">
        <f>20/100</f>
        <v>0.2</v>
      </c>
      <c r="F222" s="26">
        <v>216.8</v>
      </c>
      <c r="G222" s="26">
        <f>F222*E222</f>
        <v>43.36000000000001</v>
      </c>
      <c r="H222" s="26">
        <f>G222*30.3/100</f>
        <v>13.138080000000002</v>
      </c>
      <c r="I222" s="26">
        <f>G222*30/100</f>
        <v>13.008000000000003</v>
      </c>
      <c r="J222" s="26">
        <f>G222+H222+I222</f>
        <v>69.50608000000001</v>
      </c>
      <c r="K222" s="26">
        <f>J222*1.18</f>
        <v>82.01717440000002</v>
      </c>
    </row>
    <row r="223" spans="1:11" ht="30">
      <c r="A223" s="46" t="s">
        <v>555</v>
      </c>
      <c r="B223" s="33" t="s">
        <v>556</v>
      </c>
      <c r="C223" s="22" t="s">
        <v>546</v>
      </c>
      <c r="D223" s="24">
        <v>3.8</v>
      </c>
      <c r="E223" s="22">
        <f>37/100</f>
        <v>0.37</v>
      </c>
      <c r="F223" s="26">
        <v>216.8</v>
      </c>
      <c r="G223" s="26">
        <f>F223*E223</f>
        <v>80.21600000000001</v>
      </c>
      <c r="H223" s="26">
        <f>G223*30.3/100</f>
        <v>24.305448000000002</v>
      </c>
      <c r="I223" s="26">
        <f>G223*30/100</f>
        <v>24.064800000000005</v>
      </c>
      <c r="J223" s="26">
        <f>G223+H223+I223</f>
        <v>128.586248</v>
      </c>
      <c r="K223" s="26">
        <f>J223*1.18</f>
        <v>151.73177264</v>
      </c>
    </row>
    <row r="224" spans="1:11" ht="30">
      <c r="A224" s="46" t="s">
        <v>557</v>
      </c>
      <c r="B224" s="33" t="s">
        <v>558</v>
      </c>
      <c r="C224" s="22" t="s">
        <v>546</v>
      </c>
      <c r="D224" s="24">
        <v>3.8</v>
      </c>
      <c r="E224" s="22">
        <f>19/100</f>
        <v>0.19</v>
      </c>
      <c r="F224" s="26">
        <v>216.8</v>
      </c>
      <c r="G224" s="26">
        <f>F224*E224</f>
        <v>41.192</v>
      </c>
      <c r="H224" s="26">
        <f>G224*30.3/100</f>
        <v>12.481176</v>
      </c>
      <c r="I224" s="26">
        <f>G224*30/100</f>
        <v>12.3576</v>
      </c>
      <c r="J224" s="26">
        <f>G224+H224+I224</f>
        <v>66.030776</v>
      </c>
      <c r="K224" s="26">
        <f>J224*1.18</f>
        <v>77.91631568</v>
      </c>
    </row>
    <row r="225" spans="1:11" ht="45">
      <c r="A225" s="46" t="s">
        <v>559</v>
      </c>
      <c r="B225" s="33" t="s">
        <v>560</v>
      </c>
      <c r="C225" s="22" t="s">
        <v>546</v>
      </c>
      <c r="D225" s="24">
        <v>3.8</v>
      </c>
      <c r="E225" s="22">
        <f>38.3/100</f>
        <v>0.38299999999999995</v>
      </c>
      <c r="F225" s="26">
        <v>216.8</v>
      </c>
      <c r="G225" s="26">
        <f t="shared" si="43"/>
        <v>83.03439999999999</v>
      </c>
      <c r="H225" s="26">
        <f t="shared" si="44"/>
        <v>25.159423199999996</v>
      </c>
      <c r="I225" s="26">
        <f t="shared" si="45"/>
        <v>24.91032</v>
      </c>
      <c r="J225" s="26">
        <f t="shared" si="46"/>
        <v>133.10414319999998</v>
      </c>
      <c r="K225" s="26">
        <f t="shared" si="47"/>
        <v>157.06288897599998</v>
      </c>
    </row>
    <row r="226" spans="1:11" ht="14.25">
      <c r="A226" s="44" t="s">
        <v>561</v>
      </c>
      <c r="B226" s="72" t="s">
        <v>562</v>
      </c>
      <c r="C226" s="73"/>
      <c r="D226" s="73"/>
      <c r="E226" s="73"/>
      <c r="F226" s="73"/>
      <c r="G226" s="73"/>
      <c r="H226" s="73"/>
      <c r="I226" s="73"/>
      <c r="J226" s="73"/>
      <c r="K226" s="74"/>
    </row>
    <row r="227" spans="1:11" ht="45">
      <c r="A227" s="47" t="s">
        <v>563</v>
      </c>
      <c r="B227" s="33" t="s">
        <v>564</v>
      </c>
      <c r="C227" s="22" t="s">
        <v>112</v>
      </c>
      <c r="D227" s="24">
        <v>3.8</v>
      </c>
      <c r="E227" s="22">
        <f>39.5/100</f>
        <v>0.395</v>
      </c>
      <c r="F227" s="26">
        <v>216.8</v>
      </c>
      <c r="G227" s="26">
        <f aca="true" t="shared" si="48" ref="G227:G254">F227*E227</f>
        <v>85.63600000000001</v>
      </c>
      <c r="H227" s="26">
        <f aca="true" t="shared" si="49" ref="H227:H254">G227*30.3/100</f>
        <v>25.947708000000002</v>
      </c>
      <c r="I227" s="26">
        <f aca="true" t="shared" si="50" ref="I227:I254">G227*30/100</f>
        <v>25.690800000000003</v>
      </c>
      <c r="J227" s="26">
        <f aca="true" t="shared" si="51" ref="J227:J254">G227+H227+I227</f>
        <v>137.27450800000003</v>
      </c>
      <c r="K227" s="26">
        <f aca="true" t="shared" si="52" ref="K227:K254">J227*1.18</f>
        <v>161.98391944000002</v>
      </c>
    </row>
    <row r="228" spans="1:11" ht="45">
      <c r="A228" s="47" t="s">
        <v>565</v>
      </c>
      <c r="B228" s="33" t="s">
        <v>566</v>
      </c>
      <c r="C228" s="22" t="s">
        <v>112</v>
      </c>
      <c r="D228" s="24">
        <v>3.8</v>
      </c>
      <c r="E228" s="22">
        <f>32.2/100</f>
        <v>0.322</v>
      </c>
      <c r="F228" s="26">
        <v>216.8</v>
      </c>
      <c r="G228" s="26">
        <f t="shared" si="48"/>
        <v>69.8096</v>
      </c>
      <c r="H228" s="26">
        <f t="shared" si="49"/>
        <v>21.1523088</v>
      </c>
      <c r="I228" s="26">
        <f t="shared" si="50"/>
        <v>20.94288</v>
      </c>
      <c r="J228" s="26">
        <f t="shared" si="51"/>
        <v>111.9047888</v>
      </c>
      <c r="K228" s="26">
        <f t="shared" si="52"/>
        <v>132.047650784</v>
      </c>
    </row>
    <row r="229" spans="1:11" ht="45">
      <c r="A229" s="47" t="s">
        <v>567</v>
      </c>
      <c r="B229" s="33" t="s">
        <v>568</v>
      </c>
      <c r="C229" s="22" t="s">
        <v>112</v>
      </c>
      <c r="D229" s="24">
        <v>3.8</v>
      </c>
      <c r="E229" s="22">
        <f>76/100</f>
        <v>0.76</v>
      </c>
      <c r="F229" s="26">
        <v>216.8</v>
      </c>
      <c r="G229" s="26">
        <f t="shared" si="48"/>
        <v>164.768</v>
      </c>
      <c r="H229" s="26">
        <f t="shared" si="49"/>
        <v>49.924704</v>
      </c>
      <c r="I229" s="26">
        <f t="shared" si="50"/>
        <v>49.4304</v>
      </c>
      <c r="J229" s="26">
        <f t="shared" si="51"/>
        <v>264.123104</v>
      </c>
      <c r="K229" s="26">
        <f t="shared" si="52"/>
        <v>311.66526272</v>
      </c>
    </row>
    <row r="230" spans="1:11" ht="45">
      <c r="A230" s="47" t="s">
        <v>569</v>
      </c>
      <c r="B230" s="33" t="s">
        <v>570</v>
      </c>
      <c r="C230" s="22" t="s">
        <v>112</v>
      </c>
      <c r="D230" s="24">
        <v>3.8</v>
      </c>
      <c r="E230" s="22">
        <f>43.9/100</f>
        <v>0.439</v>
      </c>
      <c r="F230" s="26">
        <v>216.8</v>
      </c>
      <c r="G230" s="26">
        <f t="shared" si="48"/>
        <v>95.1752</v>
      </c>
      <c r="H230" s="26">
        <f t="shared" si="49"/>
        <v>28.838085600000003</v>
      </c>
      <c r="I230" s="26">
        <f t="shared" si="50"/>
        <v>28.552560000000003</v>
      </c>
      <c r="J230" s="26">
        <f t="shared" si="51"/>
        <v>152.56584560000002</v>
      </c>
      <c r="K230" s="26">
        <f t="shared" si="52"/>
        <v>180.027697808</v>
      </c>
    </row>
    <row r="231" spans="1:11" ht="45">
      <c r="A231" s="47" t="s">
        <v>571</v>
      </c>
      <c r="B231" s="33" t="s">
        <v>572</v>
      </c>
      <c r="C231" s="22" t="s">
        <v>112</v>
      </c>
      <c r="D231" s="24">
        <v>3.8</v>
      </c>
      <c r="E231" s="22">
        <f>32.8/100</f>
        <v>0.32799999999999996</v>
      </c>
      <c r="F231" s="26">
        <v>216.8</v>
      </c>
      <c r="G231" s="26">
        <f t="shared" si="48"/>
        <v>71.1104</v>
      </c>
      <c r="H231" s="26">
        <f t="shared" si="49"/>
        <v>21.5464512</v>
      </c>
      <c r="I231" s="26">
        <f t="shared" si="50"/>
        <v>21.333119999999997</v>
      </c>
      <c r="J231" s="26">
        <f t="shared" si="51"/>
        <v>113.9899712</v>
      </c>
      <c r="K231" s="26">
        <f t="shared" si="52"/>
        <v>134.508166016</v>
      </c>
    </row>
    <row r="232" spans="1:11" ht="30">
      <c r="A232" s="47" t="s">
        <v>573</v>
      </c>
      <c r="B232" s="33" t="s">
        <v>574</v>
      </c>
      <c r="C232" s="22" t="s">
        <v>112</v>
      </c>
      <c r="D232" s="24">
        <v>3.8</v>
      </c>
      <c r="E232" s="22">
        <f>38.9/100</f>
        <v>0.389</v>
      </c>
      <c r="F232" s="26">
        <v>216.8</v>
      </c>
      <c r="G232" s="26">
        <f t="shared" si="48"/>
        <v>84.3352</v>
      </c>
      <c r="H232" s="26">
        <f t="shared" si="49"/>
        <v>25.553565600000002</v>
      </c>
      <c r="I232" s="26">
        <f t="shared" si="50"/>
        <v>25.30056</v>
      </c>
      <c r="J232" s="26">
        <f t="shared" si="51"/>
        <v>135.1893256</v>
      </c>
      <c r="K232" s="26">
        <f t="shared" si="52"/>
        <v>159.523404208</v>
      </c>
    </row>
    <row r="233" spans="1:11" ht="30">
      <c r="A233" s="47" t="s">
        <v>575</v>
      </c>
      <c r="B233" s="33" t="s">
        <v>576</v>
      </c>
      <c r="C233" s="22" t="s">
        <v>112</v>
      </c>
      <c r="D233" s="24">
        <v>3.8</v>
      </c>
      <c r="E233" s="22">
        <f>32.9/100</f>
        <v>0.32899999999999996</v>
      </c>
      <c r="F233" s="26">
        <v>216.8</v>
      </c>
      <c r="G233" s="26">
        <f t="shared" si="48"/>
        <v>71.32719999999999</v>
      </c>
      <c r="H233" s="26">
        <f t="shared" si="49"/>
        <v>21.6121416</v>
      </c>
      <c r="I233" s="26">
        <f t="shared" si="50"/>
        <v>21.398159999999997</v>
      </c>
      <c r="J233" s="26">
        <f t="shared" si="51"/>
        <v>114.3375016</v>
      </c>
      <c r="K233" s="26">
        <f t="shared" si="52"/>
        <v>134.918251888</v>
      </c>
    </row>
    <row r="234" spans="1:11" ht="45">
      <c r="A234" s="47" t="s">
        <v>577</v>
      </c>
      <c r="B234" s="33" t="s">
        <v>578</v>
      </c>
      <c r="C234" s="22" t="s">
        <v>112</v>
      </c>
      <c r="D234" s="24">
        <v>3.8</v>
      </c>
      <c r="E234" s="22">
        <f>43.2/100</f>
        <v>0.43200000000000005</v>
      </c>
      <c r="F234" s="26">
        <v>216.8</v>
      </c>
      <c r="G234" s="26">
        <f t="shared" si="48"/>
        <v>93.65760000000002</v>
      </c>
      <c r="H234" s="26">
        <f t="shared" si="49"/>
        <v>28.378252800000006</v>
      </c>
      <c r="I234" s="26">
        <f t="shared" si="50"/>
        <v>28.097280000000005</v>
      </c>
      <c r="J234" s="26">
        <f t="shared" si="51"/>
        <v>150.13313280000003</v>
      </c>
      <c r="K234" s="26">
        <f t="shared" si="52"/>
        <v>177.15709670400003</v>
      </c>
    </row>
    <row r="235" spans="1:11" ht="45">
      <c r="A235" s="47" t="s">
        <v>579</v>
      </c>
      <c r="B235" s="33" t="s">
        <v>580</v>
      </c>
      <c r="C235" s="22" t="s">
        <v>112</v>
      </c>
      <c r="D235" s="24">
        <v>3.8</v>
      </c>
      <c r="E235" s="22">
        <f>38.1/100</f>
        <v>0.381</v>
      </c>
      <c r="F235" s="26">
        <v>216.8</v>
      </c>
      <c r="G235" s="26">
        <f t="shared" si="48"/>
        <v>82.6008</v>
      </c>
      <c r="H235" s="26">
        <f t="shared" si="49"/>
        <v>25.028042400000004</v>
      </c>
      <c r="I235" s="26">
        <f t="shared" si="50"/>
        <v>24.780240000000003</v>
      </c>
      <c r="J235" s="26">
        <f t="shared" si="51"/>
        <v>132.40908240000002</v>
      </c>
      <c r="K235" s="26">
        <f t="shared" si="52"/>
        <v>156.24271723200002</v>
      </c>
    </row>
    <row r="236" spans="1:11" ht="45">
      <c r="A236" s="47" t="s">
        <v>581</v>
      </c>
      <c r="B236" s="33" t="s">
        <v>582</v>
      </c>
      <c r="C236" s="22" t="s">
        <v>112</v>
      </c>
      <c r="D236" s="24">
        <v>3.8</v>
      </c>
      <c r="E236" s="22">
        <f>76.1/100</f>
        <v>0.7609999999999999</v>
      </c>
      <c r="F236" s="26">
        <v>216.8</v>
      </c>
      <c r="G236" s="26">
        <f t="shared" si="48"/>
        <v>164.98479999999998</v>
      </c>
      <c r="H236" s="26">
        <f t="shared" si="49"/>
        <v>49.99039439999999</v>
      </c>
      <c r="I236" s="26">
        <f t="shared" si="50"/>
        <v>49.49543999999999</v>
      </c>
      <c r="J236" s="26">
        <f t="shared" si="51"/>
        <v>264.47063439999994</v>
      </c>
      <c r="K236" s="26">
        <f t="shared" si="52"/>
        <v>312.0753485919999</v>
      </c>
    </row>
    <row r="237" spans="1:11" ht="30">
      <c r="A237" s="47" t="s">
        <v>583</v>
      </c>
      <c r="B237" s="33" t="s">
        <v>584</v>
      </c>
      <c r="C237" s="22" t="s">
        <v>112</v>
      </c>
      <c r="D237" s="24">
        <v>3.8</v>
      </c>
      <c r="E237" s="22">
        <f>73.4/100</f>
        <v>0.7340000000000001</v>
      </c>
      <c r="F237" s="26">
        <v>216.8</v>
      </c>
      <c r="G237" s="26">
        <f t="shared" si="48"/>
        <v>159.13120000000004</v>
      </c>
      <c r="H237" s="26">
        <f t="shared" si="49"/>
        <v>48.21675360000001</v>
      </c>
      <c r="I237" s="26">
        <f t="shared" si="50"/>
        <v>47.73936000000001</v>
      </c>
      <c r="J237" s="26">
        <f t="shared" si="51"/>
        <v>255.08731360000004</v>
      </c>
      <c r="K237" s="26">
        <f t="shared" si="52"/>
        <v>301.003030048</v>
      </c>
    </row>
    <row r="238" spans="1:11" ht="75">
      <c r="A238" s="47" t="s">
        <v>585</v>
      </c>
      <c r="B238" s="33" t="s">
        <v>586</v>
      </c>
      <c r="C238" s="22" t="s">
        <v>112</v>
      </c>
      <c r="D238" s="24">
        <v>3.8</v>
      </c>
      <c r="E238" s="22">
        <f>69.4/100</f>
        <v>0.6940000000000001</v>
      </c>
      <c r="F238" s="26">
        <v>216.8</v>
      </c>
      <c r="G238" s="26">
        <f t="shared" si="48"/>
        <v>150.4592</v>
      </c>
      <c r="H238" s="26">
        <f t="shared" si="49"/>
        <v>45.5891376</v>
      </c>
      <c r="I238" s="26">
        <f t="shared" si="50"/>
        <v>45.13776</v>
      </c>
      <c r="J238" s="26">
        <f t="shared" si="51"/>
        <v>241.18609760000004</v>
      </c>
      <c r="K238" s="26">
        <f t="shared" si="52"/>
        <v>284.599595168</v>
      </c>
    </row>
    <row r="239" spans="1:11" ht="30">
      <c r="A239" s="47" t="s">
        <v>587</v>
      </c>
      <c r="B239" s="33" t="s">
        <v>588</v>
      </c>
      <c r="C239" s="22" t="s">
        <v>112</v>
      </c>
      <c r="D239" s="24"/>
      <c r="E239" s="22">
        <f>58/100</f>
        <v>0.58</v>
      </c>
      <c r="F239" s="26">
        <v>216.8</v>
      </c>
      <c r="G239" s="26">
        <f t="shared" si="48"/>
        <v>125.744</v>
      </c>
      <c r="H239" s="26">
        <f t="shared" si="49"/>
        <v>38.100432</v>
      </c>
      <c r="I239" s="26">
        <f t="shared" si="50"/>
        <v>37.7232</v>
      </c>
      <c r="J239" s="26">
        <f t="shared" si="51"/>
        <v>201.56763199999997</v>
      </c>
      <c r="K239" s="26">
        <f t="shared" si="52"/>
        <v>237.84980575999995</v>
      </c>
    </row>
    <row r="240" spans="1:11" ht="30">
      <c r="A240" s="47" t="s">
        <v>589</v>
      </c>
      <c r="B240" s="33" t="s">
        <v>590</v>
      </c>
      <c r="C240" s="22" t="s">
        <v>112</v>
      </c>
      <c r="D240" s="24"/>
      <c r="E240" s="22">
        <f>57.9/100</f>
        <v>0.579</v>
      </c>
      <c r="F240" s="26">
        <v>216.8</v>
      </c>
      <c r="G240" s="26">
        <f t="shared" si="48"/>
        <v>125.5272</v>
      </c>
      <c r="H240" s="26">
        <f t="shared" si="49"/>
        <v>38.0347416</v>
      </c>
      <c r="I240" s="26">
        <f t="shared" si="50"/>
        <v>37.658159999999995</v>
      </c>
      <c r="J240" s="26">
        <f t="shared" si="51"/>
        <v>201.22010159999996</v>
      </c>
      <c r="K240" s="26">
        <f t="shared" si="52"/>
        <v>237.43971988799996</v>
      </c>
    </row>
    <row r="241" spans="1:11" ht="51.75" customHeight="1">
      <c r="A241" s="47" t="s">
        <v>591</v>
      </c>
      <c r="B241" s="33" t="s">
        <v>592</v>
      </c>
      <c r="C241" s="22" t="s">
        <v>112</v>
      </c>
      <c r="D241" s="24"/>
      <c r="E241" s="22">
        <f>48.1/100</f>
        <v>0.48100000000000004</v>
      </c>
      <c r="F241" s="26">
        <v>216.8</v>
      </c>
      <c r="G241" s="26">
        <f t="shared" si="48"/>
        <v>104.28080000000001</v>
      </c>
      <c r="H241" s="26">
        <f t="shared" si="49"/>
        <v>31.597082400000005</v>
      </c>
      <c r="I241" s="26">
        <f t="shared" si="50"/>
        <v>31.284240000000004</v>
      </c>
      <c r="J241" s="26">
        <f t="shared" si="51"/>
        <v>167.16212240000004</v>
      </c>
      <c r="K241" s="26">
        <f t="shared" si="52"/>
        <v>197.25130443200004</v>
      </c>
    </row>
    <row r="242" spans="1:11" ht="75">
      <c r="A242" s="47" t="s">
        <v>593</v>
      </c>
      <c r="B242" s="23" t="s">
        <v>595</v>
      </c>
      <c r="C242" s="22" t="s">
        <v>112</v>
      </c>
      <c r="D242" s="24"/>
      <c r="E242" s="22">
        <f>88.3/100</f>
        <v>0.883</v>
      </c>
      <c r="F242" s="26">
        <v>216.8</v>
      </c>
      <c r="G242" s="26">
        <f t="shared" si="48"/>
        <v>191.4344</v>
      </c>
      <c r="H242" s="26">
        <f t="shared" si="49"/>
        <v>58.004623200000005</v>
      </c>
      <c r="I242" s="26">
        <f t="shared" si="50"/>
        <v>57.43032</v>
      </c>
      <c r="J242" s="26">
        <f t="shared" si="51"/>
        <v>306.8693432</v>
      </c>
      <c r="K242" s="26">
        <f t="shared" si="52"/>
        <v>362.105824976</v>
      </c>
    </row>
    <row r="243" spans="1:11" ht="75">
      <c r="A243" s="47" t="s">
        <v>594</v>
      </c>
      <c r="B243" s="23" t="s">
        <v>596</v>
      </c>
      <c r="C243" s="22" t="s">
        <v>112</v>
      </c>
      <c r="D243" s="24"/>
      <c r="E243" s="22">
        <f>97.7/100</f>
        <v>0.977</v>
      </c>
      <c r="F243" s="26">
        <v>216.8</v>
      </c>
      <c r="G243" s="26">
        <f t="shared" si="48"/>
        <v>211.8136</v>
      </c>
      <c r="H243" s="26">
        <f t="shared" si="49"/>
        <v>64.1795208</v>
      </c>
      <c r="I243" s="26">
        <f t="shared" si="50"/>
        <v>63.54408</v>
      </c>
      <c r="J243" s="26">
        <f t="shared" si="51"/>
        <v>339.53720080000005</v>
      </c>
      <c r="K243" s="26">
        <f t="shared" si="52"/>
        <v>400.65389694400005</v>
      </c>
    </row>
    <row r="244" spans="1:11" ht="30">
      <c r="A244" s="47" t="s">
        <v>597</v>
      </c>
      <c r="B244" s="23" t="s">
        <v>598</v>
      </c>
      <c r="C244" s="22" t="s">
        <v>112</v>
      </c>
      <c r="D244" s="24"/>
      <c r="E244" s="22">
        <v>1.21</v>
      </c>
      <c r="F244" s="26">
        <v>216.8</v>
      </c>
      <c r="G244" s="26">
        <f t="shared" si="48"/>
        <v>262.32800000000003</v>
      </c>
      <c r="H244" s="26">
        <f t="shared" si="49"/>
        <v>79.48538400000001</v>
      </c>
      <c r="I244" s="26">
        <f t="shared" si="50"/>
        <v>78.6984</v>
      </c>
      <c r="J244" s="26">
        <f t="shared" si="51"/>
        <v>420.51178400000003</v>
      </c>
      <c r="K244" s="26">
        <f t="shared" si="52"/>
        <v>496.20390512</v>
      </c>
    </row>
    <row r="245" spans="1:11" ht="30">
      <c r="A245" s="47" t="s">
        <v>599</v>
      </c>
      <c r="B245" s="23" t="s">
        <v>596</v>
      </c>
      <c r="C245" s="22" t="s">
        <v>112</v>
      </c>
      <c r="D245" s="24"/>
      <c r="E245" s="22">
        <v>2.33</v>
      </c>
      <c r="F245" s="26">
        <v>216.8</v>
      </c>
      <c r="G245" s="26">
        <f t="shared" si="48"/>
        <v>505.14400000000006</v>
      </c>
      <c r="H245" s="26">
        <f t="shared" si="49"/>
        <v>153.05863200000002</v>
      </c>
      <c r="I245" s="26">
        <f t="shared" si="50"/>
        <v>151.5432</v>
      </c>
      <c r="J245" s="26">
        <f t="shared" si="51"/>
        <v>809.7458320000001</v>
      </c>
      <c r="K245" s="26">
        <f t="shared" si="52"/>
        <v>955.5000817600001</v>
      </c>
    </row>
    <row r="246" spans="1:11" ht="60">
      <c r="A246" s="47" t="s">
        <v>600</v>
      </c>
      <c r="B246" s="23" t="s">
        <v>601</v>
      </c>
      <c r="C246" s="22" t="s">
        <v>112</v>
      </c>
      <c r="D246" s="24"/>
      <c r="E246" s="22">
        <f>111/100</f>
        <v>1.11</v>
      </c>
      <c r="F246" s="26">
        <v>216.8</v>
      </c>
      <c r="G246" s="26">
        <f t="shared" si="48"/>
        <v>240.64800000000002</v>
      </c>
      <c r="H246" s="26">
        <f t="shared" si="49"/>
        <v>72.91634400000001</v>
      </c>
      <c r="I246" s="26">
        <f t="shared" si="50"/>
        <v>72.1944</v>
      </c>
      <c r="J246" s="26">
        <f t="shared" si="51"/>
        <v>385.758744</v>
      </c>
      <c r="K246" s="26">
        <f t="shared" si="52"/>
        <v>455.1953179199999</v>
      </c>
    </row>
    <row r="247" spans="1:11" ht="60">
      <c r="A247" s="47" t="s">
        <v>602</v>
      </c>
      <c r="B247" s="23" t="s">
        <v>603</v>
      </c>
      <c r="C247" s="22" t="s">
        <v>112</v>
      </c>
      <c r="D247" s="24"/>
      <c r="E247" s="22">
        <f>148/100</f>
        <v>1.48</v>
      </c>
      <c r="F247" s="26">
        <v>216.8</v>
      </c>
      <c r="G247" s="26">
        <f t="shared" si="48"/>
        <v>320.86400000000003</v>
      </c>
      <c r="H247" s="26">
        <f t="shared" si="49"/>
        <v>97.22179200000001</v>
      </c>
      <c r="I247" s="26">
        <f t="shared" si="50"/>
        <v>96.25920000000002</v>
      </c>
      <c r="J247" s="26">
        <f t="shared" si="51"/>
        <v>514.344992</v>
      </c>
      <c r="K247" s="26">
        <f t="shared" si="52"/>
        <v>606.92709056</v>
      </c>
    </row>
    <row r="248" spans="1:11" ht="60">
      <c r="A248" s="47" t="s">
        <v>604</v>
      </c>
      <c r="B248" s="23" t="s">
        <v>605</v>
      </c>
      <c r="C248" s="22" t="s">
        <v>112</v>
      </c>
      <c r="D248" s="24"/>
      <c r="E248" s="22">
        <f>185/100</f>
        <v>1.85</v>
      </c>
      <c r="F248" s="26">
        <v>216.8</v>
      </c>
      <c r="G248" s="26">
        <f t="shared" si="48"/>
        <v>401.08000000000004</v>
      </c>
      <c r="H248" s="26">
        <f t="shared" si="49"/>
        <v>121.52724000000002</v>
      </c>
      <c r="I248" s="26">
        <f t="shared" si="50"/>
        <v>120.32400000000001</v>
      </c>
      <c r="J248" s="26">
        <f t="shared" si="51"/>
        <v>642.9312400000001</v>
      </c>
      <c r="K248" s="26">
        <f t="shared" si="52"/>
        <v>758.6588632</v>
      </c>
    </row>
    <row r="249" spans="1:11" ht="30">
      <c r="A249" s="47" t="s">
        <v>606</v>
      </c>
      <c r="B249" s="23" t="s">
        <v>607</v>
      </c>
      <c r="C249" s="22" t="s">
        <v>112</v>
      </c>
      <c r="D249" s="24"/>
      <c r="E249" s="22">
        <f>177/100</f>
        <v>1.77</v>
      </c>
      <c r="F249" s="26">
        <v>216.8</v>
      </c>
      <c r="G249" s="26">
        <f t="shared" si="48"/>
        <v>383.73600000000005</v>
      </c>
      <c r="H249" s="26">
        <f t="shared" si="49"/>
        <v>116.27200800000003</v>
      </c>
      <c r="I249" s="26">
        <f t="shared" si="50"/>
        <v>115.12080000000002</v>
      </c>
      <c r="J249" s="26">
        <f t="shared" si="51"/>
        <v>615.128808</v>
      </c>
      <c r="K249" s="26">
        <f t="shared" si="52"/>
        <v>725.85199344</v>
      </c>
    </row>
    <row r="250" spans="1:11" ht="45">
      <c r="A250" s="47" t="s">
        <v>608</v>
      </c>
      <c r="B250" s="23" t="s">
        <v>609</v>
      </c>
      <c r="C250" s="22" t="s">
        <v>112</v>
      </c>
      <c r="D250" s="24"/>
      <c r="E250" s="22">
        <v>0.34</v>
      </c>
      <c r="F250" s="26">
        <v>216.8</v>
      </c>
      <c r="G250" s="26">
        <f t="shared" si="48"/>
        <v>73.712</v>
      </c>
      <c r="H250" s="26">
        <f t="shared" si="49"/>
        <v>22.334736000000003</v>
      </c>
      <c r="I250" s="26">
        <f t="shared" si="50"/>
        <v>22.1136</v>
      </c>
      <c r="J250" s="26">
        <f t="shared" si="51"/>
        <v>118.16033600000002</v>
      </c>
      <c r="K250" s="26">
        <f t="shared" si="52"/>
        <v>139.42919648</v>
      </c>
    </row>
    <row r="251" spans="1:11" ht="30">
      <c r="A251" s="47" t="s">
        <v>610</v>
      </c>
      <c r="B251" s="23" t="s">
        <v>611</v>
      </c>
      <c r="C251" s="22" t="s">
        <v>112</v>
      </c>
      <c r="D251" s="24"/>
      <c r="E251" s="22">
        <v>1.2</v>
      </c>
      <c r="F251" s="26">
        <v>216.8</v>
      </c>
      <c r="G251" s="26">
        <f t="shared" si="48"/>
        <v>260.16</v>
      </c>
      <c r="H251" s="26">
        <f t="shared" si="49"/>
        <v>78.82848000000001</v>
      </c>
      <c r="I251" s="26">
        <f t="shared" si="50"/>
        <v>78.04800000000002</v>
      </c>
      <c r="J251" s="26">
        <f t="shared" si="51"/>
        <v>417.03648000000004</v>
      </c>
      <c r="K251" s="26">
        <f t="shared" si="52"/>
        <v>492.10304640000004</v>
      </c>
    </row>
    <row r="252" spans="1:11" ht="30">
      <c r="A252" s="47" t="s">
        <v>612</v>
      </c>
      <c r="B252" s="23" t="s">
        <v>613</v>
      </c>
      <c r="C252" s="22" t="s">
        <v>112</v>
      </c>
      <c r="D252" s="24"/>
      <c r="E252" s="22">
        <v>2.39</v>
      </c>
      <c r="F252" s="26">
        <v>216.8</v>
      </c>
      <c r="G252" s="26">
        <f t="shared" si="48"/>
        <v>518.152</v>
      </c>
      <c r="H252" s="26">
        <f t="shared" si="49"/>
        <v>157.00005600000003</v>
      </c>
      <c r="I252" s="26">
        <f t="shared" si="50"/>
        <v>155.4456</v>
      </c>
      <c r="J252" s="26">
        <f t="shared" si="51"/>
        <v>830.5976560000001</v>
      </c>
      <c r="K252" s="26">
        <f t="shared" si="52"/>
        <v>980.1052340800002</v>
      </c>
    </row>
    <row r="253" spans="1:11" ht="30">
      <c r="A253" s="47" t="s">
        <v>614</v>
      </c>
      <c r="B253" s="23" t="s">
        <v>615</v>
      </c>
      <c r="C253" s="22" t="s">
        <v>112</v>
      </c>
      <c r="D253" s="24"/>
      <c r="E253" s="22">
        <f>76.5/100</f>
        <v>0.765</v>
      </c>
      <c r="F253" s="26">
        <v>216.8</v>
      </c>
      <c r="G253" s="26">
        <f t="shared" si="48"/>
        <v>165.852</v>
      </c>
      <c r="H253" s="26">
        <f t="shared" si="49"/>
        <v>50.253156</v>
      </c>
      <c r="I253" s="26">
        <f t="shared" si="50"/>
        <v>49.7556</v>
      </c>
      <c r="J253" s="26">
        <f t="shared" si="51"/>
        <v>265.860756</v>
      </c>
      <c r="K253" s="26">
        <f t="shared" si="52"/>
        <v>313.71569207999994</v>
      </c>
    </row>
    <row r="254" spans="1:11" ht="30">
      <c r="A254" s="46" t="s">
        <v>616</v>
      </c>
      <c r="B254" s="23" t="s">
        <v>617</v>
      </c>
      <c r="C254" s="22" t="s">
        <v>112</v>
      </c>
      <c r="D254" s="24">
        <v>3.8</v>
      </c>
      <c r="E254" s="22">
        <v>1.24</v>
      </c>
      <c r="F254" s="26">
        <v>216.8</v>
      </c>
      <c r="G254" s="26">
        <f t="shared" si="48"/>
        <v>268.832</v>
      </c>
      <c r="H254" s="26">
        <f t="shared" si="49"/>
        <v>81.456096</v>
      </c>
      <c r="I254" s="26">
        <f t="shared" si="50"/>
        <v>80.6496</v>
      </c>
      <c r="J254" s="26">
        <f t="shared" si="51"/>
        <v>430.937696</v>
      </c>
      <c r="K254" s="26">
        <f t="shared" si="52"/>
        <v>508.50648128</v>
      </c>
    </row>
    <row r="255" spans="1:11" ht="15">
      <c r="A255" s="79" t="s">
        <v>136</v>
      </c>
      <c r="B255" s="80"/>
      <c r="C255" s="80"/>
      <c r="D255" s="80"/>
      <c r="E255" s="80"/>
      <c r="F255" s="80"/>
      <c r="G255" s="80"/>
      <c r="H255" s="80"/>
      <c r="I255" s="80"/>
      <c r="J255" s="81"/>
      <c r="K255" s="26"/>
    </row>
    <row r="256" spans="1:11" ht="15">
      <c r="A256" s="37" t="s">
        <v>624</v>
      </c>
      <c r="B256" s="33" t="s">
        <v>625</v>
      </c>
      <c r="C256" s="24" t="s">
        <v>112</v>
      </c>
      <c r="D256" s="24">
        <v>3</v>
      </c>
      <c r="E256" s="22">
        <f>32.76/100</f>
        <v>0.3276</v>
      </c>
      <c r="F256" s="26">
        <v>216.8</v>
      </c>
      <c r="G256" s="26">
        <f>F256*E256</f>
        <v>71.02368</v>
      </c>
      <c r="H256" s="26">
        <f>G256*30.3/100</f>
        <v>21.520175039999998</v>
      </c>
      <c r="I256" s="26">
        <f>G256*30/100</f>
        <v>21.307104</v>
      </c>
      <c r="J256" s="26">
        <f>G256+H256+I256</f>
        <v>113.85095903999999</v>
      </c>
      <c r="K256" s="26">
        <f>J256*1.18</f>
        <v>134.34413166719997</v>
      </c>
    </row>
    <row r="257" spans="1:11" ht="30">
      <c r="A257" s="32" t="s">
        <v>618</v>
      </c>
      <c r="B257" s="33" t="s">
        <v>619</v>
      </c>
      <c r="C257" s="24" t="s">
        <v>112</v>
      </c>
      <c r="D257" s="24">
        <v>3</v>
      </c>
      <c r="E257" s="22">
        <f>73.2/100</f>
        <v>0.732</v>
      </c>
      <c r="F257" s="26">
        <v>216.8</v>
      </c>
      <c r="G257" s="26">
        <f>F257*E257</f>
        <v>158.6976</v>
      </c>
      <c r="H257" s="26">
        <f>G257*30.3/100</f>
        <v>48.085372799999995</v>
      </c>
      <c r="I257" s="26">
        <f>G257*30/100</f>
        <v>47.60928</v>
      </c>
      <c r="J257" s="26">
        <f>G257+H257+I257</f>
        <v>254.3922528</v>
      </c>
      <c r="K257" s="26">
        <f>J257*1.18</f>
        <v>300.182858304</v>
      </c>
    </row>
    <row r="258" spans="1:11" ht="30">
      <c r="A258" s="32" t="s">
        <v>620</v>
      </c>
      <c r="B258" s="33" t="s">
        <v>621</v>
      </c>
      <c r="C258" s="24" t="s">
        <v>112</v>
      </c>
      <c r="D258" s="24">
        <v>3</v>
      </c>
      <c r="E258" s="22">
        <f>106.8/100</f>
        <v>1.068</v>
      </c>
      <c r="F258" s="26">
        <v>216.8</v>
      </c>
      <c r="G258" s="26">
        <f>F258*E258</f>
        <v>231.54240000000001</v>
      </c>
      <c r="H258" s="26">
        <f aca="true" t="shared" si="53" ref="H258:H265">G258*30.3/100</f>
        <v>70.1573472</v>
      </c>
      <c r="I258" s="26">
        <f>G258*30/100</f>
        <v>69.46272</v>
      </c>
      <c r="J258" s="26">
        <f>G258+H258+I258</f>
        <v>371.16246720000004</v>
      </c>
      <c r="K258" s="26">
        <f>J258*1.18</f>
        <v>437.971711296</v>
      </c>
    </row>
    <row r="259" spans="1:11" ht="15">
      <c r="A259" s="32" t="s">
        <v>622</v>
      </c>
      <c r="B259" s="33" t="s">
        <v>623</v>
      </c>
      <c r="C259" s="24" t="s">
        <v>112</v>
      </c>
      <c r="D259" s="24">
        <v>3</v>
      </c>
      <c r="E259" s="22">
        <f>24.6/100</f>
        <v>0.24600000000000002</v>
      </c>
      <c r="F259" s="26">
        <v>216.8</v>
      </c>
      <c r="G259" s="26">
        <f>F259*E259</f>
        <v>53.332800000000006</v>
      </c>
      <c r="H259" s="26">
        <f t="shared" si="53"/>
        <v>16.1598384</v>
      </c>
      <c r="I259" s="26">
        <f>G259*30/100</f>
        <v>15.99984</v>
      </c>
      <c r="J259" s="26">
        <f>G259+H259+I259</f>
        <v>85.49247840000001</v>
      </c>
      <c r="K259" s="26">
        <f>J259*1.18</f>
        <v>100.88112451200001</v>
      </c>
    </row>
    <row r="260" spans="1:11" ht="15" hidden="1">
      <c r="A260" s="37"/>
      <c r="B260" s="33"/>
      <c r="C260" s="24"/>
      <c r="D260" s="24"/>
      <c r="E260" s="22"/>
      <c r="F260" s="26"/>
      <c r="G260" s="26"/>
      <c r="H260" s="26"/>
      <c r="I260" s="26"/>
      <c r="J260" s="26"/>
      <c r="K260" s="26"/>
    </row>
    <row r="261" spans="1:11" ht="30">
      <c r="A261" s="32" t="s">
        <v>145</v>
      </c>
      <c r="B261" s="33" t="s">
        <v>146</v>
      </c>
      <c r="C261" s="24" t="s">
        <v>112</v>
      </c>
      <c r="D261" s="24">
        <v>3</v>
      </c>
      <c r="E261" s="22">
        <v>3.99</v>
      </c>
      <c r="F261" s="26">
        <v>216.8</v>
      </c>
      <c r="G261" s="26">
        <f>F261*E261</f>
        <v>865.032</v>
      </c>
      <c r="H261" s="26">
        <f t="shared" si="53"/>
        <v>262.104696</v>
      </c>
      <c r="I261" s="26">
        <f>G261*30/100</f>
        <v>259.50960000000003</v>
      </c>
      <c r="J261" s="26">
        <f>G261+H261+I261</f>
        <v>1386.6462960000001</v>
      </c>
      <c r="K261" s="26">
        <f aca="true" t="shared" si="54" ref="K261:K273">J261*1.18</f>
        <v>1636.24262928</v>
      </c>
    </row>
    <row r="262" spans="1:11" ht="45">
      <c r="A262" s="38" t="s">
        <v>147</v>
      </c>
      <c r="B262" s="33" t="s">
        <v>626</v>
      </c>
      <c r="C262" s="23" t="s">
        <v>149</v>
      </c>
      <c r="D262" s="24">
        <v>3.3</v>
      </c>
      <c r="E262" s="22">
        <v>2.21</v>
      </c>
      <c r="F262" s="26">
        <v>216.8</v>
      </c>
      <c r="G262" s="26">
        <f>F262*E262</f>
        <v>479.12800000000004</v>
      </c>
      <c r="H262" s="26">
        <f t="shared" si="53"/>
        <v>145.17578400000002</v>
      </c>
      <c r="I262" s="26">
        <f>G262*30/100</f>
        <v>143.7384</v>
      </c>
      <c r="J262" s="26">
        <f>G262+H262+I262</f>
        <v>768.0421840000001</v>
      </c>
      <c r="K262" s="26">
        <f t="shared" si="54"/>
        <v>906.28977712</v>
      </c>
    </row>
    <row r="263" spans="1:11" ht="30">
      <c r="A263" s="32" t="s">
        <v>150</v>
      </c>
      <c r="B263" s="23" t="s">
        <v>151</v>
      </c>
      <c r="C263" s="22" t="s">
        <v>112</v>
      </c>
      <c r="D263" s="24">
        <v>4</v>
      </c>
      <c r="E263" s="22">
        <v>0.5</v>
      </c>
      <c r="F263" s="26">
        <v>216.8</v>
      </c>
      <c r="G263" s="26">
        <f>F263*E263</f>
        <v>108.4</v>
      </c>
      <c r="H263" s="26">
        <f t="shared" si="53"/>
        <v>32.845200000000006</v>
      </c>
      <c r="I263" s="26">
        <f>G263*30/100</f>
        <v>32.52</v>
      </c>
      <c r="J263" s="26">
        <f>G263+H263+I263</f>
        <v>173.76520000000002</v>
      </c>
      <c r="K263" s="26">
        <f t="shared" si="54"/>
        <v>205.04293600000003</v>
      </c>
    </row>
    <row r="264" spans="1:11" ht="30">
      <c r="A264" s="32" t="s">
        <v>156</v>
      </c>
      <c r="B264" s="23" t="s">
        <v>152</v>
      </c>
      <c r="C264" s="22" t="s">
        <v>153</v>
      </c>
      <c r="D264" s="22">
        <v>4</v>
      </c>
      <c r="E264" s="22">
        <v>5.87</v>
      </c>
      <c r="F264" s="26">
        <v>216.8</v>
      </c>
      <c r="G264" s="26">
        <f>F264*E264</f>
        <v>1272.616</v>
      </c>
      <c r="H264" s="26">
        <f t="shared" si="53"/>
        <v>385.602648</v>
      </c>
      <c r="I264" s="26">
        <f>G264*30/100</f>
        <v>381.78479999999996</v>
      </c>
      <c r="J264" s="26">
        <f>G264+H264+I264</f>
        <v>2040.003448</v>
      </c>
      <c r="K264" s="26">
        <f t="shared" si="54"/>
        <v>2407.2040686399996</v>
      </c>
    </row>
    <row r="265" spans="1:11" ht="45">
      <c r="A265" s="25" t="s">
        <v>154</v>
      </c>
      <c r="B265" s="33" t="s">
        <v>627</v>
      </c>
      <c r="C265" s="22" t="s">
        <v>52</v>
      </c>
      <c r="D265" s="22">
        <v>2.5</v>
      </c>
      <c r="E265" s="22">
        <v>1.74</v>
      </c>
      <c r="F265" s="26">
        <v>216.8</v>
      </c>
      <c r="G265" s="26">
        <f>F265*E265</f>
        <v>377.232</v>
      </c>
      <c r="H265" s="26">
        <f t="shared" si="53"/>
        <v>114.30129600000001</v>
      </c>
      <c r="I265" s="26">
        <f>G265*30/100</f>
        <v>113.1696</v>
      </c>
      <c r="J265" s="26">
        <f>G265+H265+I265</f>
        <v>604.702896</v>
      </c>
      <c r="K265" s="26">
        <f t="shared" si="54"/>
        <v>713.54941728</v>
      </c>
    </row>
    <row r="266" spans="1:11" ht="60" hidden="1">
      <c r="A266" s="27" t="s">
        <v>0</v>
      </c>
      <c r="B266" s="22" t="s">
        <v>1</v>
      </c>
      <c r="C266" s="22" t="s">
        <v>2</v>
      </c>
      <c r="D266" s="23" t="s">
        <v>3</v>
      </c>
      <c r="E266" s="23" t="s">
        <v>4</v>
      </c>
      <c r="F266" s="26">
        <v>216.8</v>
      </c>
      <c r="G266" s="23" t="s">
        <v>6</v>
      </c>
      <c r="H266" s="23" t="s">
        <v>209</v>
      </c>
      <c r="I266" s="23" t="s">
        <v>7</v>
      </c>
      <c r="J266" s="23" t="s">
        <v>8</v>
      </c>
      <c r="K266" s="26" t="e">
        <f t="shared" si="54"/>
        <v>#VALUE!</v>
      </c>
    </row>
    <row r="267" spans="1:11" ht="15" hidden="1">
      <c r="A267" s="27">
        <v>1</v>
      </c>
      <c r="B267" s="22">
        <v>2</v>
      </c>
      <c r="C267" s="22">
        <v>3</v>
      </c>
      <c r="D267" s="23">
        <v>4</v>
      </c>
      <c r="E267" s="23">
        <v>5</v>
      </c>
      <c r="F267" s="26">
        <v>216.8</v>
      </c>
      <c r="G267" s="23">
        <v>7</v>
      </c>
      <c r="H267" s="23">
        <v>8</v>
      </c>
      <c r="I267" s="23">
        <v>9</v>
      </c>
      <c r="J267" s="23">
        <v>10</v>
      </c>
      <c r="K267" s="26">
        <f t="shared" si="54"/>
        <v>11.799999999999999</v>
      </c>
    </row>
    <row r="268" spans="1:11" ht="75">
      <c r="A268" s="25" t="s">
        <v>157</v>
      </c>
      <c r="B268" s="33" t="s">
        <v>158</v>
      </c>
      <c r="C268" s="22" t="s">
        <v>153</v>
      </c>
      <c r="D268" s="22">
        <v>3.6</v>
      </c>
      <c r="E268" s="22">
        <v>5.05</v>
      </c>
      <c r="F268" s="26">
        <v>216.8</v>
      </c>
      <c r="G268" s="26">
        <f aca="true" t="shared" si="55" ref="G268:G273">F268*E268</f>
        <v>1094.84</v>
      </c>
      <c r="H268" s="26">
        <f aca="true" t="shared" si="56" ref="H268:H273">G268*30.3/100</f>
        <v>331.73652000000004</v>
      </c>
      <c r="I268" s="26">
        <f aca="true" t="shared" si="57" ref="I268:I273">G268*30/100</f>
        <v>328.452</v>
      </c>
      <c r="J268" s="26">
        <f aca="true" t="shared" si="58" ref="J268:J273">G268+H268+I268</f>
        <v>1755.02852</v>
      </c>
      <c r="K268" s="26">
        <f t="shared" si="54"/>
        <v>2070.9336536</v>
      </c>
    </row>
    <row r="269" spans="1:11" ht="60">
      <c r="A269" s="25" t="s">
        <v>159</v>
      </c>
      <c r="B269" s="33" t="s">
        <v>160</v>
      </c>
      <c r="C269" s="22" t="s">
        <v>153</v>
      </c>
      <c r="D269" s="22">
        <v>3.6</v>
      </c>
      <c r="E269" s="22">
        <v>2.08</v>
      </c>
      <c r="F269" s="26">
        <v>216.8</v>
      </c>
      <c r="G269" s="26">
        <f t="shared" si="55"/>
        <v>450.944</v>
      </c>
      <c r="H269" s="26">
        <f t="shared" si="56"/>
        <v>136.636032</v>
      </c>
      <c r="I269" s="26">
        <f t="shared" si="57"/>
        <v>135.2832</v>
      </c>
      <c r="J269" s="26">
        <f t="shared" si="58"/>
        <v>722.863232</v>
      </c>
      <c r="K269" s="26">
        <f t="shared" si="54"/>
        <v>852.97861376</v>
      </c>
    </row>
    <row r="270" spans="1:11" ht="45">
      <c r="A270" s="25" t="s">
        <v>161</v>
      </c>
      <c r="B270" s="33" t="s">
        <v>628</v>
      </c>
      <c r="C270" s="22" t="s">
        <v>153</v>
      </c>
      <c r="D270" s="22">
        <v>3.4</v>
      </c>
      <c r="E270" s="22">
        <v>2.19</v>
      </c>
      <c r="F270" s="26">
        <v>216.8</v>
      </c>
      <c r="G270" s="26">
        <f t="shared" si="55"/>
        <v>474.79200000000003</v>
      </c>
      <c r="H270" s="26">
        <f t="shared" si="56"/>
        <v>143.86197600000003</v>
      </c>
      <c r="I270" s="26">
        <f t="shared" si="57"/>
        <v>142.4376</v>
      </c>
      <c r="J270" s="26">
        <f t="shared" si="58"/>
        <v>761.091576</v>
      </c>
      <c r="K270" s="26">
        <f t="shared" si="54"/>
        <v>898.08805968</v>
      </c>
    </row>
    <row r="271" spans="1:11" ht="15">
      <c r="A271" s="25" t="s">
        <v>163</v>
      </c>
      <c r="B271" s="33" t="s">
        <v>629</v>
      </c>
      <c r="C271" s="22" t="s">
        <v>153</v>
      </c>
      <c r="D271" s="22">
        <v>3</v>
      </c>
      <c r="E271" s="22">
        <v>0.7</v>
      </c>
      <c r="F271" s="26">
        <v>216.8</v>
      </c>
      <c r="G271" s="26">
        <f t="shared" si="55"/>
        <v>151.76</v>
      </c>
      <c r="H271" s="26">
        <f t="shared" si="56"/>
        <v>45.98327999999999</v>
      </c>
      <c r="I271" s="26">
        <f t="shared" si="57"/>
        <v>45.52799999999999</v>
      </c>
      <c r="J271" s="26">
        <f t="shared" si="58"/>
        <v>243.27127999999996</v>
      </c>
      <c r="K271" s="26">
        <f t="shared" si="54"/>
        <v>287.0601103999999</v>
      </c>
    </row>
    <row r="272" spans="1:11" ht="30">
      <c r="A272" s="25" t="s">
        <v>165</v>
      </c>
      <c r="B272" s="33" t="s">
        <v>634</v>
      </c>
      <c r="C272" s="22" t="s">
        <v>167</v>
      </c>
      <c r="D272" s="22">
        <v>3</v>
      </c>
      <c r="E272" s="22">
        <v>0.09</v>
      </c>
      <c r="F272" s="26">
        <v>216.8</v>
      </c>
      <c r="G272" s="26">
        <f t="shared" si="55"/>
        <v>19.512</v>
      </c>
      <c r="H272" s="26">
        <f t="shared" si="56"/>
        <v>5.912136</v>
      </c>
      <c r="I272" s="26">
        <f t="shared" si="57"/>
        <v>5.8536</v>
      </c>
      <c r="J272" s="26">
        <f t="shared" si="58"/>
        <v>31.277736</v>
      </c>
      <c r="K272" s="26">
        <f t="shared" si="54"/>
        <v>36.907728479999996</v>
      </c>
    </row>
    <row r="273" spans="1:11" ht="15">
      <c r="A273" s="25" t="s">
        <v>168</v>
      </c>
      <c r="B273" s="33" t="s">
        <v>630</v>
      </c>
      <c r="C273" s="24" t="s">
        <v>153</v>
      </c>
      <c r="D273" s="24">
        <v>3.1</v>
      </c>
      <c r="E273" s="22">
        <v>0.85</v>
      </c>
      <c r="F273" s="26">
        <v>216.8</v>
      </c>
      <c r="G273" s="26">
        <f t="shared" si="55"/>
        <v>184.28</v>
      </c>
      <c r="H273" s="26">
        <f t="shared" si="56"/>
        <v>55.83684</v>
      </c>
      <c r="I273" s="26">
        <f t="shared" si="57"/>
        <v>55.284</v>
      </c>
      <c r="J273" s="26">
        <f t="shared" si="58"/>
        <v>295.40084</v>
      </c>
      <c r="K273" s="26">
        <f t="shared" si="54"/>
        <v>348.5729912</v>
      </c>
    </row>
    <row r="274" spans="1:11" ht="15">
      <c r="A274" s="79" t="s">
        <v>170</v>
      </c>
      <c r="B274" s="80"/>
      <c r="C274" s="80"/>
      <c r="D274" s="80"/>
      <c r="E274" s="80"/>
      <c r="F274" s="80"/>
      <c r="G274" s="80"/>
      <c r="H274" s="80"/>
      <c r="I274" s="80"/>
      <c r="J274" s="81"/>
      <c r="K274" s="26"/>
    </row>
    <row r="275" spans="1:11" ht="45">
      <c r="A275" s="32" t="s">
        <v>172</v>
      </c>
      <c r="B275" s="32" t="s">
        <v>631</v>
      </c>
      <c r="C275" s="48" t="s">
        <v>153</v>
      </c>
      <c r="D275" s="24">
        <v>3.6</v>
      </c>
      <c r="E275" s="22">
        <v>1.91</v>
      </c>
      <c r="F275" s="26">
        <v>216.8</v>
      </c>
      <c r="G275" s="26">
        <f>F275*E275</f>
        <v>414.088</v>
      </c>
      <c r="H275" s="26">
        <f>G275*30.3/100</f>
        <v>125.468664</v>
      </c>
      <c r="I275" s="26">
        <f>G275*30/100</f>
        <v>124.22640000000001</v>
      </c>
      <c r="J275" s="26">
        <f>G275+H275+I275</f>
        <v>663.7830640000001</v>
      </c>
      <c r="K275" s="26">
        <f>J275*1.18</f>
        <v>783.26401552</v>
      </c>
    </row>
    <row r="276" spans="1:11" ht="45">
      <c r="A276" s="32" t="s">
        <v>173</v>
      </c>
      <c r="B276" s="32" t="s">
        <v>632</v>
      </c>
      <c r="C276" s="48" t="s">
        <v>153</v>
      </c>
      <c r="D276" s="24">
        <v>3.6</v>
      </c>
      <c r="E276" s="22">
        <v>1.35</v>
      </c>
      <c r="F276" s="26">
        <v>216.8</v>
      </c>
      <c r="G276" s="26">
        <f>F276*E276</f>
        <v>292.68</v>
      </c>
      <c r="H276" s="26">
        <f>G276*30.3/100</f>
        <v>88.68204</v>
      </c>
      <c r="I276" s="26">
        <f>G276*30/100</f>
        <v>87.804</v>
      </c>
      <c r="J276" s="26">
        <f>G276+H276+I276</f>
        <v>469.16603999999995</v>
      </c>
      <c r="K276" s="26">
        <f>J276*1.18</f>
        <v>553.6159271999999</v>
      </c>
    </row>
    <row r="277" spans="1:11" ht="45">
      <c r="A277" s="32" t="s">
        <v>175</v>
      </c>
      <c r="B277" s="32" t="s">
        <v>633</v>
      </c>
      <c r="C277" s="48" t="s">
        <v>153</v>
      </c>
      <c r="D277" s="24">
        <v>3.6</v>
      </c>
      <c r="E277" s="22">
        <v>1.05</v>
      </c>
      <c r="F277" s="26">
        <v>216.8</v>
      </c>
      <c r="G277" s="26">
        <f>F277*E277</f>
        <v>227.64000000000001</v>
      </c>
      <c r="H277" s="26">
        <f>G277*30.3/100</f>
        <v>68.97492</v>
      </c>
      <c r="I277" s="26">
        <f>G277*30/100</f>
        <v>68.292</v>
      </c>
      <c r="J277" s="26">
        <f>G277+H277+I277</f>
        <v>364.90692</v>
      </c>
      <c r="K277" s="26">
        <f>J277*1.18</f>
        <v>430.5901656</v>
      </c>
    </row>
    <row r="278" spans="1:10" ht="15">
      <c r="A278" s="41" t="s">
        <v>191</v>
      </c>
      <c r="B278" s="39"/>
      <c r="C278" s="39"/>
      <c r="D278" s="39"/>
      <c r="E278" s="39"/>
      <c r="F278" s="40"/>
      <c r="G278" s="40"/>
      <c r="H278" s="40"/>
      <c r="I278" s="40"/>
      <c r="J278" s="40"/>
    </row>
    <row r="279" spans="1:10" ht="15">
      <c r="A279" s="41" t="s">
        <v>192</v>
      </c>
      <c r="B279" s="40"/>
      <c r="C279" s="40"/>
      <c r="D279" s="40"/>
      <c r="E279" s="40"/>
      <c r="F279" s="40"/>
      <c r="G279" s="40"/>
      <c r="H279" s="40"/>
      <c r="I279" s="40"/>
      <c r="J279" s="40"/>
    </row>
    <row r="280" spans="1:10" ht="15">
      <c r="A280" s="41" t="s">
        <v>193</v>
      </c>
      <c r="B280" s="40"/>
      <c r="C280" s="40"/>
      <c r="D280" s="40"/>
      <c r="E280" s="40"/>
      <c r="F280" s="40"/>
      <c r="G280" s="40"/>
      <c r="H280" s="40"/>
      <c r="I280" s="40"/>
      <c r="J280" s="40"/>
    </row>
    <row r="281" spans="1:10" ht="15">
      <c r="A281" s="41" t="s">
        <v>194</v>
      </c>
      <c r="B281" s="40"/>
      <c r="C281" s="40"/>
      <c r="D281" s="40"/>
      <c r="E281" s="40"/>
      <c r="F281" s="40"/>
      <c r="G281" s="40"/>
      <c r="H281" s="40"/>
      <c r="I281" s="40"/>
      <c r="J281" s="40"/>
    </row>
    <row r="282" spans="1:10" ht="15">
      <c r="A282" s="41" t="s">
        <v>640</v>
      </c>
      <c r="B282" s="40"/>
      <c r="C282" s="40"/>
      <c r="D282" s="40"/>
      <c r="E282" s="40"/>
      <c r="F282" s="40"/>
      <c r="G282" s="40"/>
      <c r="H282" s="40"/>
      <c r="I282" s="40"/>
      <c r="J282" s="40"/>
    </row>
    <row r="283" spans="1:10" ht="14.25">
      <c r="A283" s="42"/>
      <c r="B283" s="42"/>
      <c r="C283" s="42"/>
      <c r="D283" s="42"/>
      <c r="E283" s="42"/>
      <c r="F283" s="42"/>
      <c r="G283" s="42"/>
      <c r="H283" s="42"/>
      <c r="I283" s="42"/>
      <c r="J283" s="42"/>
    </row>
    <row r="284" spans="1:10" ht="14.25">
      <c r="A284" s="42"/>
      <c r="B284" s="42"/>
      <c r="C284" s="42"/>
      <c r="D284" s="42"/>
      <c r="E284" s="42"/>
      <c r="F284" s="42"/>
      <c r="G284" s="42"/>
      <c r="H284" s="42"/>
      <c r="I284" s="42"/>
      <c r="J284" s="42"/>
    </row>
    <row r="285" spans="1:10" ht="14.25">
      <c r="A285" s="42"/>
      <c r="B285" s="42"/>
      <c r="C285" s="42"/>
      <c r="D285" s="42"/>
      <c r="E285" s="42"/>
      <c r="F285" s="42"/>
      <c r="G285" s="42"/>
      <c r="H285" s="42"/>
      <c r="I285" s="42"/>
      <c r="J285" s="42"/>
    </row>
    <row r="286" spans="1:10" ht="14.25">
      <c r="A286" s="42"/>
      <c r="B286" s="42"/>
      <c r="C286" s="42"/>
      <c r="D286" s="42"/>
      <c r="E286" s="42"/>
      <c r="F286" s="42"/>
      <c r="G286" s="42"/>
      <c r="H286" s="42"/>
      <c r="I286" s="42"/>
      <c r="J286" s="42"/>
    </row>
    <row r="287" spans="1:10" ht="14.25">
      <c r="A287" s="42"/>
      <c r="B287" s="42"/>
      <c r="C287" s="42"/>
      <c r="D287" s="42"/>
      <c r="E287" s="42"/>
      <c r="F287" s="42"/>
      <c r="G287" s="42"/>
      <c r="H287" s="42"/>
      <c r="I287" s="42"/>
      <c r="J287" s="42"/>
    </row>
    <row r="288" spans="1:10" ht="14.25">
      <c r="A288" s="42"/>
      <c r="B288" s="42"/>
      <c r="C288" s="42"/>
      <c r="D288" s="42"/>
      <c r="E288" s="42"/>
      <c r="F288" s="42"/>
      <c r="G288" s="42"/>
      <c r="H288" s="42"/>
      <c r="I288" s="42"/>
      <c r="J288" s="42"/>
    </row>
    <row r="289" spans="1:10" ht="14.25">
      <c r="A289" s="42"/>
      <c r="B289" s="42"/>
      <c r="C289" s="42"/>
      <c r="D289" s="42"/>
      <c r="E289" s="42"/>
      <c r="F289" s="42"/>
      <c r="G289" s="42"/>
      <c r="H289" s="42"/>
      <c r="I289" s="42"/>
      <c r="J289" s="42"/>
    </row>
    <row r="290" spans="1:10" ht="14.25">
      <c r="A290" s="42"/>
      <c r="B290" s="42"/>
      <c r="C290" s="42"/>
      <c r="D290" s="42"/>
      <c r="E290" s="42"/>
      <c r="F290" s="42"/>
      <c r="G290" s="42"/>
      <c r="H290" s="42"/>
      <c r="I290" s="42"/>
      <c r="J290" s="42"/>
    </row>
    <row r="291" spans="1:10" ht="14.25">
      <c r="A291" s="42"/>
      <c r="B291" s="42"/>
      <c r="C291" s="42"/>
      <c r="D291" s="42"/>
      <c r="E291" s="42"/>
      <c r="F291" s="42"/>
      <c r="G291" s="42"/>
      <c r="H291" s="42"/>
      <c r="I291" s="42"/>
      <c r="J291" s="42"/>
    </row>
    <row r="292" spans="1:10" ht="14.25">
      <c r="A292" s="42"/>
      <c r="B292" s="42"/>
      <c r="C292" s="42"/>
      <c r="D292" s="42"/>
      <c r="E292" s="42"/>
      <c r="F292" s="42"/>
      <c r="G292" s="42"/>
      <c r="H292" s="42"/>
      <c r="I292" s="42"/>
      <c r="J292" s="42"/>
    </row>
    <row r="293" spans="1:10" ht="14.25">
      <c r="A293" s="42"/>
      <c r="B293" s="42"/>
      <c r="C293" s="42"/>
      <c r="D293" s="42"/>
      <c r="E293" s="42"/>
      <c r="F293" s="42"/>
      <c r="G293" s="42"/>
      <c r="H293" s="42"/>
      <c r="I293" s="42"/>
      <c r="J293" s="42"/>
    </row>
    <row r="294" spans="1:10" ht="14.25">
      <c r="A294" s="42"/>
      <c r="B294" s="42"/>
      <c r="C294" s="42"/>
      <c r="D294" s="42"/>
      <c r="E294" s="42"/>
      <c r="F294" s="42"/>
      <c r="G294" s="42"/>
      <c r="H294" s="42"/>
      <c r="I294" s="42"/>
      <c r="J294" s="42"/>
    </row>
    <row r="295" spans="1:10" ht="14.25">
      <c r="A295" s="42"/>
      <c r="B295" s="42"/>
      <c r="C295" s="42"/>
      <c r="D295" s="42"/>
      <c r="E295" s="42"/>
      <c r="F295" s="42"/>
      <c r="G295" s="42"/>
      <c r="H295" s="42"/>
      <c r="I295" s="42"/>
      <c r="J295" s="42"/>
    </row>
    <row r="296" spans="1:10" ht="14.25">
      <c r="A296" s="42"/>
      <c r="B296" s="42"/>
      <c r="C296" s="42"/>
      <c r="D296" s="42"/>
      <c r="E296" s="42"/>
      <c r="F296" s="42"/>
      <c r="G296" s="42"/>
      <c r="H296" s="42"/>
      <c r="I296" s="42"/>
      <c r="J296" s="42"/>
    </row>
    <row r="297" spans="1:10" ht="14.25">
      <c r="A297" s="42"/>
      <c r="B297" s="42"/>
      <c r="C297" s="42"/>
      <c r="D297" s="42"/>
      <c r="E297" s="42"/>
      <c r="F297" s="42"/>
      <c r="G297" s="42"/>
      <c r="H297" s="42"/>
      <c r="I297" s="42"/>
      <c r="J297" s="42"/>
    </row>
    <row r="298" spans="1:10" ht="14.25">
      <c r="A298" s="42"/>
      <c r="B298" s="42"/>
      <c r="C298" s="42"/>
      <c r="D298" s="42"/>
      <c r="E298" s="42"/>
      <c r="F298" s="42"/>
      <c r="G298" s="42"/>
      <c r="H298" s="42"/>
      <c r="I298" s="42"/>
      <c r="J298" s="42"/>
    </row>
    <row r="299" spans="1:10" ht="14.25">
      <c r="A299" s="42"/>
      <c r="B299" s="42"/>
      <c r="C299" s="42"/>
      <c r="D299" s="42"/>
      <c r="E299" s="42"/>
      <c r="F299" s="42"/>
      <c r="G299" s="42"/>
      <c r="H299" s="42"/>
      <c r="I299" s="42"/>
      <c r="J299" s="42"/>
    </row>
    <row r="300" spans="1:10" ht="14.25">
      <c r="A300" s="42"/>
      <c r="B300" s="42"/>
      <c r="C300" s="42"/>
      <c r="D300" s="42"/>
      <c r="E300" s="42"/>
      <c r="F300" s="42"/>
      <c r="G300" s="42"/>
      <c r="H300" s="42"/>
      <c r="I300" s="42"/>
      <c r="J300" s="42"/>
    </row>
    <row r="301" spans="1:10" ht="14.25">
      <c r="A301" s="42"/>
      <c r="B301" s="42"/>
      <c r="C301" s="42"/>
      <c r="D301" s="42"/>
      <c r="E301" s="42"/>
      <c r="F301" s="42"/>
      <c r="G301" s="42"/>
      <c r="H301" s="42"/>
      <c r="I301" s="42"/>
      <c r="J301" s="42"/>
    </row>
    <row r="302" spans="1:10" ht="14.25">
      <c r="A302" s="42"/>
      <c r="B302" s="42"/>
      <c r="C302" s="42"/>
      <c r="D302" s="42"/>
      <c r="E302" s="42"/>
      <c r="F302" s="42"/>
      <c r="G302" s="42"/>
      <c r="H302" s="42"/>
      <c r="I302" s="42"/>
      <c r="J302" s="42"/>
    </row>
    <row r="303" spans="1:10" ht="14.25">
      <c r="A303" s="42"/>
      <c r="B303" s="42"/>
      <c r="C303" s="42"/>
      <c r="D303" s="42"/>
      <c r="E303" s="42"/>
      <c r="F303" s="42"/>
      <c r="G303" s="42"/>
      <c r="H303" s="42"/>
      <c r="I303" s="42"/>
      <c r="J303" s="42"/>
    </row>
    <row r="304" spans="1:10" ht="14.25">
      <c r="A304" s="42"/>
      <c r="B304" s="42"/>
      <c r="C304" s="42"/>
      <c r="D304" s="42"/>
      <c r="E304" s="42"/>
      <c r="F304" s="42"/>
      <c r="G304" s="42"/>
      <c r="H304" s="42"/>
      <c r="I304" s="42"/>
      <c r="J304" s="42"/>
    </row>
    <row r="305" spans="1:10" ht="14.25">
      <c r="A305" s="42"/>
      <c r="B305" s="42"/>
      <c r="C305" s="42"/>
      <c r="D305" s="42"/>
      <c r="E305" s="42"/>
      <c r="F305" s="42"/>
      <c r="G305" s="42"/>
      <c r="H305" s="42"/>
      <c r="I305" s="42"/>
      <c r="J305" s="42"/>
    </row>
    <row r="306" spans="1:10" ht="14.25">
      <c r="A306" s="42"/>
      <c r="B306" s="42"/>
      <c r="C306" s="42"/>
      <c r="D306" s="42"/>
      <c r="E306" s="42"/>
      <c r="F306" s="42"/>
      <c r="G306" s="42"/>
      <c r="H306" s="42"/>
      <c r="I306" s="42"/>
      <c r="J306" s="42"/>
    </row>
    <row r="307" spans="1:10" ht="14.25">
      <c r="A307" s="42"/>
      <c r="B307" s="42"/>
      <c r="C307" s="42"/>
      <c r="D307" s="42"/>
      <c r="E307" s="42"/>
      <c r="F307" s="42"/>
      <c r="G307" s="42"/>
      <c r="H307" s="42"/>
      <c r="I307" s="42"/>
      <c r="J307" s="42"/>
    </row>
    <row r="308" spans="1:10" ht="14.25">
      <c r="A308" s="42"/>
      <c r="B308" s="42"/>
      <c r="C308" s="42"/>
      <c r="D308" s="42"/>
      <c r="E308" s="42"/>
      <c r="F308" s="42"/>
      <c r="G308" s="42"/>
      <c r="H308" s="42"/>
      <c r="I308" s="42"/>
      <c r="J308" s="42"/>
    </row>
    <row r="309" spans="1:10" ht="14.25">
      <c r="A309" s="42"/>
      <c r="B309" s="42"/>
      <c r="C309" s="42"/>
      <c r="D309" s="42"/>
      <c r="E309" s="42"/>
      <c r="F309" s="42"/>
      <c r="G309" s="42"/>
      <c r="H309" s="42"/>
      <c r="I309" s="42"/>
      <c r="J309" s="42"/>
    </row>
  </sheetData>
  <sheetProtection/>
  <mergeCells count="44">
    <mergeCell ref="A7:K7"/>
    <mergeCell ref="A181:J181"/>
    <mergeCell ref="A209:J209"/>
    <mergeCell ref="A255:J255"/>
    <mergeCell ref="A274:J274"/>
    <mergeCell ref="B25:K25"/>
    <mergeCell ref="B40:K40"/>
    <mergeCell ref="B49:K49"/>
    <mergeCell ref="B87:K87"/>
    <mergeCell ref="B92:K92"/>
    <mergeCell ref="B96:K96"/>
    <mergeCell ref="A10:J10"/>
    <mergeCell ref="A164:J164"/>
    <mergeCell ref="A167:J167"/>
    <mergeCell ref="A170:J170"/>
    <mergeCell ref="A173:J173"/>
    <mergeCell ref="B12:K12"/>
    <mergeCell ref="B15:K15"/>
    <mergeCell ref="B109:K109"/>
    <mergeCell ref="B111:K111"/>
    <mergeCell ref="F1:G1"/>
    <mergeCell ref="F4:G4"/>
    <mergeCell ref="H1:K1"/>
    <mergeCell ref="G2:K2"/>
    <mergeCell ref="G3:K3"/>
    <mergeCell ref="G5:K5"/>
    <mergeCell ref="B116:K116"/>
    <mergeCell ref="B122:K122"/>
    <mergeCell ref="B128:K128"/>
    <mergeCell ref="B132:K132"/>
    <mergeCell ref="B135:K135"/>
    <mergeCell ref="B137:K137"/>
    <mergeCell ref="B139:K139"/>
    <mergeCell ref="B143:K143"/>
    <mergeCell ref="B182:K182"/>
    <mergeCell ref="B185:K185"/>
    <mergeCell ref="B192:K192"/>
    <mergeCell ref="B198:K198"/>
    <mergeCell ref="B226:K226"/>
    <mergeCell ref="B200:K200"/>
    <mergeCell ref="B203:K203"/>
    <mergeCell ref="B206:K206"/>
    <mergeCell ref="B208:K208"/>
    <mergeCell ref="B217:K217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scale="83" r:id="rId1"/>
  <rowBreaks count="4" manualBreakCount="4">
    <brk id="118" max="10" man="1"/>
    <brk id="169" max="255" man="1"/>
    <brk id="225" max="255" man="1"/>
    <brk id="2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IakovlevaAV</cp:lastModifiedBy>
  <cp:lastPrinted>2017-12-07T05:23:41Z</cp:lastPrinted>
  <dcterms:created xsi:type="dcterms:W3CDTF">1996-10-08T23:32:33Z</dcterms:created>
  <dcterms:modified xsi:type="dcterms:W3CDTF">2017-12-07T05:43:19Z</dcterms:modified>
  <cp:category/>
  <cp:version/>
  <cp:contentType/>
  <cp:contentStatus/>
</cp:coreProperties>
</file>